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indgassen\Desktop\TYLER-ERP09\"/>
    </mc:Choice>
  </mc:AlternateContent>
  <xr:revisionPtr revIDLastSave="0" documentId="13_ncr:40009_{52D2A9BD-1084-411D-9B2C-C6080E7AE8B8}" xr6:coauthVersionLast="47" xr6:coauthVersionMax="47" xr10:uidLastSave="{00000000-0000-0000-0000-000000000000}"/>
  <bookViews>
    <workbookView xWindow="-120" yWindow="-120" windowWidth="19440" windowHeight="14880"/>
  </bookViews>
  <sheets>
    <sheet name="AP-CHK-RPT-20230207" sheetId="1" r:id="rId1"/>
  </sheets>
  <calcPr calcId="0"/>
</workbook>
</file>

<file path=xl/calcChain.xml><?xml version="1.0" encoding="utf-8"?>
<calcChain xmlns="http://schemas.openxmlformats.org/spreadsheetml/2006/main">
  <c r="A41" i="1" l="1"/>
  <c r="B41" i="1"/>
  <c r="R41" i="1"/>
  <c r="S41" i="1"/>
  <c r="U41" i="1"/>
  <c r="V41" i="1"/>
  <c r="W41" i="1"/>
  <c r="Y41" i="1"/>
  <c r="A2" i="1"/>
  <c r="B2" i="1"/>
  <c r="R2" i="1"/>
  <c r="S2" i="1"/>
  <c r="U2" i="1"/>
  <c r="V2" i="1"/>
  <c r="W2" i="1"/>
  <c r="Y2" i="1"/>
  <c r="A3" i="1"/>
  <c r="B3" i="1"/>
  <c r="R3" i="1"/>
  <c r="S3" i="1"/>
  <c r="U3" i="1"/>
  <c r="V3" i="1"/>
  <c r="W3" i="1"/>
  <c r="Y3" i="1"/>
  <c r="A4" i="1"/>
  <c r="B4" i="1"/>
  <c r="R4" i="1"/>
  <c r="S4" i="1"/>
  <c r="U4" i="1"/>
  <c r="V4" i="1"/>
  <c r="W4" i="1"/>
  <c r="Y4" i="1"/>
  <c r="A5" i="1"/>
  <c r="B5" i="1"/>
  <c r="R5" i="1"/>
  <c r="S5" i="1"/>
  <c r="U5" i="1"/>
  <c r="V5" i="1"/>
  <c r="W5" i="1"/>
  <c r="Y5" i="1"/>
  <c r="A6" i="1"/>
  <c r="B6" i="1"/>
  <c r="R6" i="1"/>
  <c r="S6" i="1"/>
  <c r="U6" i="1"/>
  <c r="V6" i="1"/>
  <c r="W6" i="1"/>
  <c r="Y6" i="1"/>
  <c r="A7" i="1"/>
  <c r="B7" i="1"/>
  <c r="R7" i="1"/>
  <c r="S7" i="1"/>
  <c r="U7" i="1"/>
  <c r="V7" i="1"/>
  <c r="W7" i="1"/>
  <c r="Y7" i="1"/>
  <c r="A8" i="1"/>
  <c r="B8" i="1"/>
  <c r="R8" i="1"/>
  <c r="S8" i="1"/>
  <c r="U8" i="1"/>
  <c r="V8" i="1"/>
  <c r="W8" i="1"/>
  <c r="Y8" i="1"/>
  <c r="A9" i="1"/>
  <c r="B9" i="1"/>
  <c r="R9" i="1"/>
  <c r="S9" i="1"/>
  <c r="U9" i="1"/>
  <c r="V9" i="1"/>
  <c r="W9" i="1"/>
  <c r="Y9" i="1"/>
  <c r="A10" i="1"/>
  <c r="B10" i="1"/>
  <c r="R10" i="1"/>
  <c r="S10" i="1"/>
  <c r="U10" i="1"/>
  <c r="V10" i="1"/>
  <c r="W10" i="1"/>
  <c r="Y10" i="1"/>
  <c r="A11" i="1"/>
  <c r="B11" i="1"/>
  <c r="R11" i="1"/>
  <c r="S11" i="1"/>
  <c r="U11" i="1"/>
  <c r="V11" i="1"/>
  <c r="W11" i="1"/>
  <c r="Y11" i="1"/>
  <c r="A12" i="1"/>
  <c r="B12" i="1"/>
  <c r="R12" i="1"/>
  <c r="S12" i="1"/>
  <c r="U12" i="1"/>
  <c r="V12" i="1"/>
  <c r="W12" i="1"/>
  <c r="Y12" i="1"/>
  <c r="A13" i="1"/>
  <c r="B13" i="1"/>
  <c r="R13" i="1"/>
  <c r="S13" i="1"/>
  <c r="U13" i="1"/>
  <c r="V13" i="1"/>
  <c r="W13" i="1"/>
  <c r="Y13" i="1"/>
  <c r="A14" i="1"/>
  <c r="B14" i="1"/>
  <c r="R14" i="1"/>
  <c r="S14" i="1"/>
  <c r="U14" i="1"/>
  <c r="V14" i="1"/>
  <c r="W14" i="1"/>
  <c r="Y14" i="1"/>
  <c r="A15" i="1"/>
  <c r="B15" i="1"/>
  <c r="R15" i="1"/>
  <c r="S15" i="1"/>
  <c r="U15" i="1"/>
  <c r="V15" i="1"/>
  <c r="W15" i="1"/>
  <c r="Y15" i="1"/>
  <c r="A16" i="1"/>
  <c r="B16" i="1"/>
  <c r="R16" i="1"/>
  <c r="S16" i="1"/>
  <c r="U16" i="1"/>
  <c r="V16" i="1"/>
  <c r="W16" i="1"/>
  <c r="Y16" i="1"/>
  <c r="A17" i="1"/>
  <c r="B17" i="1"/>
  <c r="R17" i="1"/>
  <c r="S17" i="1"/>
  <c r="U17" i="1"/>
  <c r="V17" i="1"/>
  <c r="W17" i="1"/>
  <c r="Y17" i="1"/>
  <c r="A18" i="1"/>
  <c r="B18" i="1"/>
  <c r="R18" i="1"/>
  <c r="S18" i="1"/>
  <c r="U18" i="1"/>
  <c r="V18" i="1"/>
  <c r="W18" i="1"/>
  <c r="Y18" i="1"/>
  <c r="A19" i="1"/>
  <c r="B19" i="1"/>
  <c r="R19" i="1"/>
  <c r="S19" i="1"/>
  <c r="U19" i="1"/>
  <c r="V19" i="1"/>
  <c r="W19" i="1"/>
  <c r="Y19" i="1"/>
  <c r="A20" i="1"/>
  <c r="B20" i="1"/>
  <c r="R20" i="1"/>
  <c r="S20" i="1"/>
  <c r="U20" i="1"/>
  <c r="V20" i="1"/>
  <c r="W20" i="1"/>
  <c r="Y20" i="1"/>
  <c r="A21" i="1"/>
  <c r="B21" i="1"/>
  <c r="R21" i="1"/>
  <c r="S21" i="1"/>
  <c r="U21" i="1"/>
  <c r="V21" i="1"/>
  <c r="W21" i="1"/>
  <c r="Y21" i="1"/>
  <c r="A22" i="1"/>
  <c r="B22" i="1"/>
  <c r="R22" i="1"/>
  <c r="S22" i="1"/>
  <c r="U22" i="1"/>
  <c r="V22" i="1"/>
  <c r="W22" i="1"/>
  <c r="Y22" i="1"/>
  <c r="A23" i="1"/>
  <c r="B23" i="1"/>
  <c r="R23" i="1"/>
  <c r="S23" i="1"/>
  <c r="U23" i="1"/>
  <c r="V23" i="1"/>
  <c r="W23" i="1"/>
  <c r="Y23" i="1"/>
  <c r="A24" i="1"/>
  <c r="B24" i="1"/>
  <c r="R24" i="1"/>
  <c r="S24" i="1"/>
  <c r="U24" i="1"/>
  <c r="V24" i="1"/>
  <c r="W24" i="1"/>
  <c r="Y24" i="1"/>
  <c r="A25" i="1"/>
  <c r="B25" i="1"/>
  <c r="R25" i="1"/>
  <c r="S25" i="1"/>
  <c r="U25" i="1"/>
  <c r="V25" i="1"/>
  <c r="W25" i="1"/>
  <c r="Y25" i="1"/>
  <c r="A26" i="1"/>
  <c r="B26" i="1"/>
  <c r="R26" i="1"/>
  <c r="S26" i="1"/>
  <c r="U26" i="1"/>
  <c r="V26" i="1"/>
  <c r="W26" i="1"/>
  <c r="Y26" i="1"/>
  <c r="A27" i="1"/>
  <c r="B27" i="1"/>
  <c r="R27" i="1"/>
  <c r="S27" i="1"/>
  <c r="U27" i="1"/>
  <c r="V27" i="1"/>
  <c r="W27" i="1"/>
  <c r="Y27" i="1"/>
  <c r="A28" i="1"/>
  <c r="B28" i="1"/>
  <c r="R28" i="1"/>
  <c r="S28" i="1"/>
  <c r="U28" i="1"/>
  <c r="V28" i="1"/>
  <c r="W28" i="1"/>
  <c r="Y28" i="1"/>
  <c r="A29" i="1"/>
  <c r="B29" i="1"/>
  <c r="R29" i="1"/>
  <c r="S29" i="1"/>
  <c r="U29" i="1"/>
  <c r="V29" i="1"/>
  <c r="W29" i="1"/>
  <c r="Y29" i="1"/>
  <c r="A30" i="1"/>
  <c r="B30" i="1"/>
  <c r="R30" i="1"/>
  <c r="S30" i="1"/>
  <c r="U30" i="1"/>
  <c r="V30" i="1"/>
  <c r="W30" i="1"/>
  <c r="Y30" i="1"/>
  <c r="A31" i="1"/>
  <c r="B31" i="1"/>
  <c r="R31" i="1"/>
  <c r="S31" i="1"/>
  <c r="U31" i="1"/>
  <c r="V31" i="1"/>
  <c r="W31" i="1"/>
  <c r="Y31" i="1"/>
  <c r="A32" i="1"/>
  <c r="B32" i="1"/>
  <c r="R32" i="1"/>
  <c r="S32" i="1"/>
  <c r="U32" i="1"/>
  <c r="V32" i="1"/>
  <c r="W32" i="1"/>
  <c r="Y32" i="1"/>
  <c r="A33" i="1"/>
  <c r="B33" i="1"/>
  <c r="R33" i="1"/>
  <c r="S33" i="1"/>
  <c r="U33" i="1"/>
  <c r="V33" i="1"/>
  <c r="W33" i="1"/>
  <c r="Y33" i="1"/>
  <c r="A34" i="1"/>
  <c r="B34" i="1"/>
  <c r="R34" i="1"/>
  <c r="S34" i="1"/>
  <c r="U34" i="1"/>
  <c r="V34" i="1"/>
  <c r="W34" i="1"/>
  <c r="Y34" i="1"/>
  <c r="A35" i="1"/>
  <c r="B35" i="1"/>
  <c r="R35" i="1"/>
  <c r="S35" i="1"/>
  <c r="U35" i="1"/>
  <c r="V35" i="1"/>
  <c r="W35" i="1"/>
  <c r="Y35" i="1"/>
  <c r="A36" i="1"/>
  <c r="B36" i="1"/>
  <c r="R36" i="1"/>
  <c r="S36" i="1"/>
  <c r="U36" i="1"/>
  <c r="V36" i="1"/>
  <c r="W36" i="1"/>
  <c r="Y36" i="1"/>
  <c r="A37" i="1"/>
  <c r="B37" i="1"/>
  <c r="R37" i="1"/>
  <c r="S37" i="1"/>
  <c r="U37" i="1"/>
  <c r="V37" i="1"/>
  <c r="W37" i="1"/>
  <c r="Y37" i="1"/>
  <c r="A38" i="1"/>
  <c r="B38" i="1"/>
  <c r="R38" i="1"/>
  <c r="S38" i="1"/>
  <c r="U38" i="1"/>
  <c r="V38" i="1"/>
  <c r="W38" i="1"/>
  <c r="Y38" i="1"/>
  <c r="A39" i="1"/>
  <c r="B39" i="1"/>
  <c r="R39" i="1"/>
  <c r="S39" i="1"/>
  <c r="U39" i="1"/>
  <c r="V39" i="1"/>
  <c r="W39" i="1"/>
  <c r="Y39" i="1"/>
  <c r="A40" i="1"/>
  <c r="B40" i="1"/>
  <c r="R40" i="1"/>
  <c r="S40" i="1"/>
  <c r="U40" i="1"/>
  <c r="V40" i="1"/>
  <c r="W40" i="1"/>
  <c r="Y40" i="1"/>
  <c r="A42" i="1"/>
  <c r="B42" i="1"/>
  <c r="R42" i="1"/>
  <c r="S42" i="1"/>
  <c r="U42" i="1"/>
  <c r="V42" i="1"/>
  <c r="W42" i="1"/>
  <c r="Y42" i="1"/>
  <c r="A43" i="1"/>
  <c r="B43" i="1"/>
  <c r="R43" i="1"/>
  <c r="S43" i="1"/>
  <c r="U43" i="1"/>
  <c r="V43" i="1"/>
  <c r="W43" i="1"/>
  <c r="Y43" i="1"/>
  <c r="A44" i="1"/>
  <c r="B44" i="1"/>
  <c r="R44" i="1"/>
  <c r="S44" i="1"/>
  <c r="U44" i="1"/>
  <c r="V44" i="1"/>
  <c r="W44" i="1"/>
  <c r="Y44" i="1"/>
  <c r="A45" i="1"/>
  <c r="B45" i="1"/>
  <c r="R45" i="1"/>
  <c r="S45" i="1"/>
  <c r="U45" i="1"/>
  <c r="V45" i="1"/>
  <c r="W45" i="1"/>
  <c r="Y45" i="1"/>
  <c r="A46" i="1"/>
  <c r="B46" i="1"/>
  <c r="R46" i="1"/>
  <c r="S46" i="1"/>
  <c r="U46" i="1"/>
  <c r="V46" i="1"/>
  <c r="W46" i="1"/>
  <c r="Y46" i="1"/>
  <c r="A47" i="1"/>
  <c r="B47" i="1"/>
  <c r="R47" i="1"/>
  <c r="S47" i="1"/>
  <c r="U47" i="1"/>
  <c r="V47" i="1"/>
  <c r="W47" i="1"/>
  <c r="Y47" i="1"/>
  <c r="A48" i="1"/>
  <c r="B48" i="1"/>
  <c r="R48" i="1"/>
  <c r="S48" i="1"/>
  <c r="U48" i="1"/>
  <c r="V48" i="1"/>
  <c r="W48" i="1"/>
  <c r="Y48" i="1"/>
  <c r="A49" i="1"/>
  <c r="B49" i="1"/>
  <c r="R49" i="1"/>
  <c r="S49" i="1"/>
  <c r="U49" i="1"/>
  <c r="V49" i="1"/>
  <c r="W49" i="1"/>
  <c r="Y49" i="1"/>
  <c r="A50" i="1"/>
  <c r="B50" i="1"/>
  <c r="R50" i="1"/>
  <c r="S50" i="1"/>
  <c r="U50" i="1"/>
  <c r="V50" i="1"/>
  <c r="W50" i="1"/>
  <c r="Y50" i="1"/>
  <c r="A51" i="1"/>
  <c r="B51" i="1"/>
  <c r="R51" i="1"/>
  <c r="S51" i="1"/>
  <c r="U51" i="1"/>
  <c r="V51" i="1"/>
  <c r="W51" i="1"/>
  <c r="Y51" i="1"/>
  <c r="A52" i="1"/>
  <c r="B52" i="1"/>
  <c r="R52" i="1"/>
  <c r="S52" i="1"/>
  <c r="U52" i="1"/>
  <c r="V52" i="1"/>
  <c r="W52" i="1"/>
  <c r="Y52" i="1"/>
  <c r="A53" i="1"/>
  <c r="B53" i="1"/>
  <c r="R53" i="1"/>
  <c r="S53" i="1"/>
  <c r="U53" i="1"/>
  <c r="V53" i="1"/>
  <c r="W53" i="1"/>
  <c r="Y53" i="1"/>
  <c r="A54" i="1"/>
  <c r="B54" i="1"/>
  <c r="R54" i="1"/>
  <c r="S54" i="1"/>
  <c r="U54" i="1"/>
  <c r="V54" i="1"/>
  <c r="W54" i="1"/>
  <c r="Y54" i="1"/>
</calcChain>
</file>

<file path=xl/sharedStrings.xml><?xml version="1.0" encoding="utf-8"?>
<sst xmlns="http://schemas.openxmlformats.org/spreadsheetml/2006/main" count="523" uniqueCount="236">
  <si>
    <t>Vendor Set</t>
  </si>
  <si>
    <t xml:space="preserve">Vendor # </t>
  </si>
  <si>
    <t>Name</t>
  </si>
  <si>
    <t>Address 1</t>
  </si>
  <si>
    <t>Address 2</t>
  </si>
  <si>
    <t>City</t>
  </si>
  <si>
    <t>State</t>
  </si>
  <si>
    <t>Zip</t>
  </si>
  <si>
    <t>Email</t>
  </si>
  <si>
    <t>Phone</t>
  </si>
  <si>
    <t>Bank</t>
  </si>
  <si>
    <t>Check #</t>
  </si>
  <si>
    <t>Check Amount</t>
  </si>
  <si>
    <t>Check Date</t>
  </si>
  <si>
    <t>Check Type</t>
  </si>
  <si>
    <t>Check Status</t>
  </si>
  <si>
    <t>Invoice Type</t>
  </si>
  <si>
    <t>Invoice ID</t>
  </si>
  <si>
    <t>Invoice Desc</t>
  </si>
  <si>
    <t>Invoice Payment</t>
  </si>
  <si>
    <t>GL Fund</t>
  </si>
  <si>
    <t>GL Account</t>
  </si>
  <si>
    <t>GL Description</t>
  </si>
  <si>
    <t xml:space="preserve">GL Amount </t>
  </si>
  <si>
    <t>PO</t>
  </si>
  <si>
    <t>A.C. MCCARTNEY</t>
  </si>
  <si>
    <t>P.O. BOX 568</t>
  </si>
  <si>
    <t>DURAND</t>
  </si>
  <si>
    <t>IL</t>
  </si>
  <si>
    <t>815-248-2161</t>
  </si>
  <si>
    <t>AP</t>
  </si>
  <si>
    <t>REGULAR</t>
  </si>
  <si>
    <t>OUTSTANDING</t>
  </si>
  <si>
    <t>INVOICE</t>
  </si>
  <si>
    <t>AIRGAS USA  LLC D/B/A ENCOMPASS</t>
  </si>
  <si>
    <t>PO BOX 734445</t>
  </si>
  <si>
    <t>CHICAGO</t>
  </si>
  <si>
    <t>60673-4445</t>
  </si>
  <si>
    <t>815-226-1900</t>
  </si>
  <si>
    <t>BADGER METER INC</t>
  </si>
  <si>
    <t>PO BOX 88223</t>
  </si>
  <si>
    <t>MILWAUKEE</t>
  </si>
  <si>
    <t>WI</t>
  </si>
  <si>
    <t>52388-0223</t>
  </si>
  <si>
    <t>414-355-0400</t>
  </si>
  <si>
    <t>BONNELL INDUSTRIES INC</t>
  </si>
  <si>
    <t>1385 FRANKLIN GROVE</t>
  </si>
  <si>
    <t>DIXON</t>
  </si>
  <si>
    <t>815-284-3819</t>
  </si>
  <si>
    <t>CITY OF ROCKFORD</t>
  </si>
  <si>
    <t>ATTN: CUSTOMER SERVICE CENTER 1ST FLR</t>
  </si>
  <si>
    <t>425 EAST STATE STREET</t>
  </si>
  <si>
    <t>ROCKFORD</t>
  </si>
  <si>
    <t>CONSERV FS</t>
  </si>
  <si>
    <t>PO BOX 775653</t>
  </si>
  <si>
    <t>60677-5653</t>
  </si>
  <si>
    <t>CORE &amp; MAIN LP</t>
  </si>
  <si>
    <t>P.O. BOX 28330</t>
  </si>
  <si>
    <t>ST. LOUIS</t>
  </si>
  <si>
    <t>MO</t>
  </si>
  <si>
    <t>815-544-3458</t>
  </si>
  <si>
    <t>DIAMOND PROPERTY MAINTENANCE  INC.</t>
  </si>
  <si>
    <t>217 S BENTON STREET</t>
  </si>
  <si>
    <t>WINNEBAGO</t>
  </si>
  <si>
    <t>DIVERSIFIED BENEFIT SERVICES  INC.</t>
  </si>
  <si>
    <t>625 WALNUT RIDGE DRIVE</t>
  </si>
  <si>
    <t>SUITE 190</t>
  </si>
  <si>
    <t>HARTFORD</t>
  </si>
  <si>
    <t>262-367-3300</t>
  </si>
  <si>
    <t>FEHR-GRAHAM &amp; ASSOCIATES</t>
  </si>
  <si>
    <t>101 WEST STEPHENSON STREET</t>
  </si>
  <si>
    <t>FREEPORT</t>
  </si>
  <si>
    <t>815-235-7643</t>
  </si>
  <si>
    <t>FLOWER GIRLS LLC</t>
  </si>
  <si>
    <t>102 N ELIDA ST</t>
  </si>
  <si>
    <t>61088-8525</t>
  </si>
  <si>
    <t>815-335-2787</t>
  </si>
  <si>
    <t>FOUR RIVERS SANITATION AUTHORITY</t>
  </si>
  <si>
    <t>3501 KISHWAUKEE ST</t>
  </si>
  <si>
    <t>61109-2053</t>
  </si>
  <si>
    <t>815-387-7660</t>
  </si>
  <si>
    <t>FURST STAFFING</t>
  </si>
  <si>
    <t>PO BOX 5863</t>
  </si>
  <si>
    <t>GAZIANO ATTORNEY MARY</t>
  </si>
  <si>
    <t>ONE COURT PLACE</t>
  </si>
  <si>
    <t>SUITE 200</t>
  </si>
  <si>
    <t>815-962-6800</t>
  </si>
  <si>
    <t>GILL'S FREEPORT DISPOSAL</t>
  </si>
  <si>
    <t>A WASTE CONNECTIONS COMPANY</t>
  </si>
  <si>
    <t>PO BOX 535233</t>
  </si>
  <si>
    <t>PITTSBURGH</t>
  </si>
  <si>
    <t>PA</t>
  </si>
  <si>
    <t>15253-5233</t>
  </si>
  <si>
    <t>815-233-5644</t>
  </si>
  <si>
    <t>GRAINGER</t>
  </si>
  <si>
    <t>DEPT 828389783</t>
  </si>
  <si>
    <t>PALATINE</t>
  </si>
  <si>
    <t>60038-0001</t>
  </si>
  <si>
    <t>HESLOP EXCAVATING AND DUST CONTROL</t>
  </si>
  <si>
    <t>5260 W HILLDALE RD</t>
  </si>
  <si>
    <t>LEAF RIVER</t>
  </si>
  <si>
    <t>815-222-4589</t>
  </si>
  <si>
    <t>IL STATE POLICE</t>
  </si>
  <si>
    <t>BUREAU OF IDENTIFICATION</t>
  </si>
  <si>
    <t>260 N CHICAGO</t>
  </si>
  <si>
    <t>JOLIET</t>
  </si>
  <si>
    <t>60432-4075</t>
  </si>
  <si>
    <t>ILLINOIS MUNICIPAL LEAGUE</t>
  </si>
  <si>
    <t>PO BOX 5180</t>
  </si>
  <si>
    <t>SPRINGFIELD</t>
  </si>
  <si>
    <t>62705-5180</t>
  </si>
  <si>
    <t>JULIE INC</t>
  </si>
  <si>
    <t>P.O. BOX 2800</t>
  </si>
  <si>
    <t>BEDFORD PARK</t>
  </si>
  <si>
    <t>60499-2800</t>
  </si>
  <si>
    <t>815-741-5000</t>
  </si>
  <si>
    <t>MANHEIM  CASPER</t>
  </si>
  <si>
    <t>1110 S HARMONY ROAD</t>
  </si>
  <si>
    <t>OREGON</t>
  </si>
  <si>
    <t>LLC - NO 1099 REQUIRED</t>
  </si>
  <si>
    <t>MARK D. OLSON CPA  LTD</t>
  </si>
  <si>
    <t>7541 CANNELLWOOD DRIVE</t>
  </si>
  <si>
    <t>SOUTH BELOIT</t>
  </si>
  <si>
    <t>815-988-9851</t>
  </si>
  <si>
    <t>MARY K. GOTTMAN</t>
  </si>
  <si>
    <t>8234 BARCLAY ROAD</t>
  </si>
  <si>
    <t>815-965-0575</t>
  </si>
  <si>
    <t>MENARDS - CHERRY VALLEY</t>
  </si>
  <si>
    <t>2001 S PERRYVILLE ROAD</t>
  </si>
  <si>
    <t>815-381-5619</t>
  </si>
  <si>
    <t>MIDWEST METER  INC.</t>
  </si>
  <si>
    <t>200 E. FRANKLIN</t>
  </si>
  <si>
    <t>P.O. BOX 318</t>
  </si>
  <si>
    <t>EDINBURG</t>
  </si>
  <si>
    <t>62531-0318</t>
  </si>
  <si>
    <t>office@midwest-meter.com</t>
  </si>
  <si>
    <t>800-634-4746</t>
  </si>
  <si>
    <t>MONROE TRUCKING EQUIPMENT</t>
  </si>
  <si>
    <t>1051 WEST 7TH STREET</t>
  </si>
  <si>
    <t>MONROE</t>
  </si>
  <si>
    <t>608-328-8127</t>
  </si>
  <si>
    <t>MOTOROLA SOLUTIONS  INC. (WATCH GUARD)</t>
  </si>
  <si>
    <t>13104 COLLECTIONS CENTER DRIVE</t>
  </si>
  <si>
    <t>NORTHSTAR GRAPHICS</t>
  </si>
  <si>
    <t>424 MAIN STREET</t>
  </si>
  <si>
    <t>PO BOX 917</t>
  </si>
  <si>
    <t>PECATONICA</t>
  </si>
  <si>
    <t>printit@northstargfx.com</t>
  </si>
  <si>
    <t>815-239-2299</t>
  </si>
  <si>
    <t>PACE ANALYTICAL SERVICES  LLC</t>
  </si>
  <si>
    <t>PO BOX 684056</t>
  </si>
  <si>
    <t>60695-4056</t>
  </si>
  <si>
    <t>309-692-9688</t>
  </si>
  <si>
    <t>PAPER RECOVERY SERVICE CORPORATION</t>
  </si>
  <si>
    <t>7972 CREST HILLS DRIVE</t>
  </si>
  <si>
    <t>LOVES PARK</t>
  </si>
  <si>
    <t>815-636-2329</t>
  </si>
  <si>
    <t>PDC PRECISION DRIVE AND CONTROL INC</t>
  </si>
  <si>
    <t>504 11TH STREET</t>
  </si>
  <si>
    <t>P.O. BOX 537</t>
  </si>
  <si>
    <t>608-328-5600</t>
  </si>
  <si>
    <t>PETTY CASH</t>
  </si>
  <si>
    <t>108 W MAIN STREET</t>
  </si>
  <si>
    <t>PHILS POWER PLUS</t>
  </si>
  <si>
    <t>2305 KISHWAUKEE ST.</t>
  </si>
  <si>
    <t>POLLARDWATER</t>
  </si>
  <si>
    <t>FERGUSON ENTERPRISES LLC#3326</t>
  </si>
  <si>
    <t>P O BOX 417592</t>
  </si>
  <si>
    <t>BOSTON</t>
  </si>
  <si>
    <t>MA</t>
  </si>
  <si>
    <t>02241-7592</t>
  </si>
  <si>
    <t>POSTMASTER</t>
  </si>
  <si>
    <t>WINNEBAGO POST OFFICE</t>
  </si>
  <si>
    <t>105 LANDMARK DR  PO BOX 9998</t>
  </si>
  <si>
    <t>815-335-2050</t>
  </si>
  <si>
    <t>PROGRAPHICS</t>
  </si>
  <si>
    <t>4404 BOEING DR</t>
  </si>
  <si>
    <t>800-747-2741</t>
  </si>
  <si>
    <t>REGION 1 PLANNING COUNCIL (WINGIS)</t>
  </si>
  <si>
    <t>127 N WYMAN ST</t>
  </si>
  <si>
    <t>SUITE 100</t>
  </si>
  <si>
    <t>BTURNER@WINGIS.ORG</t>
  </si>
  <si>
    <t>815-329-4455</t>
  </si>
  <si>
    <t>ROCK VALLEY  CULLIGAN</t>
  </si>
  <si>
    <t>P.O. BOX 2755</t>
  </si>
  <si>
    <t>61132-2755</t>
  </si>
  <si>
    <t>815-968-7511</t>
  </si>
  <si>
    <t>ROCKFORD INFORMATION TECHNOLOGIES  INC.</t>
  </si>
  <si>
    <t>6090 STRATHMOOR DRIVE</t>
  </si>
  <si>
    <t>WWW.ROCKFORDIT.COM</t>
  </si>
  <si>
    <t>815-316-7575</t>
  </si>
  <si>
    <t>ROCKFORD LITHO CENTER</t>
  </si>
  <si>
    <t>1128 AUBURN STREET</t>
  </si>
  <si>
    <t>815-963-9390</t>
  </si>
  <si>
    <t>STATE CHEMICAL SOLUTIONS</t>
  </si>
  <si>
    <t>STATE INDUSTRIAL PRODUCTS CORP.</t>
  </si>
  <si>
    <t>PO BOX 844284</t>
  </si>
  <si>
    <t>02284-4284</t>
  </si>
  <si>
    <t>SULLIVAN'S FOODS</t>
  </si>
  <si>
    <t>P.O. BOX 37</t>
  </si>
  <si>
    <t>815-335-1501</t>
  </si>
  <si>
    <t>TYLER TECHNOLOGIES</t>
  </si>
  <si>
    <t>P.O. BOX 203556</t>
  </si>
  <si>
    <t>DALLAS</t>
  </si>
  <si>
    <t>TX</t>
  </si>
  <si>
    <t>75320-3556</t>
  </si>
  <si>
    <t>800-646-2633</t>
  </si>
  <si>
    <t>UNIFORM DEN EAST INC</t>
  </si>
  <si>
    <t>1309 5TH STREET</t>
  </si>
  <si>
    <t>MOLINE</t>
  </si>
  <si>
    <t>A/R PATTI 309-762-6215</t>
  </si>
  <si>
    <t>815-654-7919</t>
  </si>
  <si>
    <t>UNITED LABORATORIES</t>
  </si>
  <si>
    <t>PO BOX 410</t>
  </si>
  <si>
    <t>ST CHARLES</t>
  </si>
  <si>
    <t>60174-0410</t>
  </si>
  <si>
    <t>USPS POSTMASTER</t>
  </si>
  <si>
    <t>VILLAGE OF WINNEBAGO</t>
  </si>
  <si>
    <t>WATER DEPARTMENT</t>
  </si>
  <si>
    <t>WEST SIDE TRACTOR SALES</t>
  </si>
  <si>
    <t>DEPT #4570</t>
  </si>
  <si>
    <t>P.O. BOX 87618</t>
  </si>
  <si>
    <t>60880-0618</t>
  </si>
  <si>
    <t>WILLIAM CHARLES CONSTRUCTION- MATERIALS DIVISION</t>
  </si>
  <si>
    <t>PO BOX 2071</t>
  </si>
  <si>
    <t>WINNEBAGO AREA CHAMBER OF COMMERCE</t>
  </si>
  <si>
    <t>PO BOX 441</t>
  </si>
  <si>
    <t>WINNEBAGO COUNTY (911 PAYMENT)</t>
  </si>
  <si>
    <t>404 ELM STREET</t>
  </si>
  <si>
    <t>ROOM 520</t>
  </si>
  <si>
    <t>XEROX FINANCIAL SERVICES</t>
  </si>
  <si>
    <t>PO BOX 202882</t>
  </si>
  <si>
    <t>75320-2882</t>
  </si>
  <si>
    <t>844-733-9280</t>
  </si>
  <si>
    <t>MILLARD  RICK</t>
  </si>
  <si>
    <t>402 E SOPER ST.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</si>
</sst>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topLeftCell="A31" workbookViewId="0">
      <selection activeCell="M56" sqref="M56"/>
    </sheetView>
  </sheetViews>
  <sheetFormatPr defaultRowHeight="15" x14ac:dyDescent="0.25"/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tr">
        <f t="shared" ref="A2:A14" si="0">"01"</f>
        <v>01</v>
      </c>
      <c r="B2" t="str">
        <f>"000253"</f>
        <v>000253</v>
      </c>
      <c r="C2" t="s">
        <v>25</v>
      </c>
      <c r="D2" t="s">
        <v>26</v>
      </c>
      <c r="F2" t="s">
        <v>27</v>
      </c>
      <c r="G2" t="s">
        <v>28</v>
      </c>
      <c r="H2">
        <v>61024</v>
      </c>
      <c r="J2" t="s">
        <v>29</v>
      </c>
      <c r="K2" t="s">
        <v>30</v>
      </c>
      <c r="L2">
        <v>25067</v>
      </c>
      <c r="M2">
        <v>229.93</v>
      </c>
      <c r="N2" s="1">
        <v>44970</v>
      </c>
      <c r="O2" t="s">
        <v>31</v>
      </c>
      <c r="P2" t="s">
        <v>32</v>
      </c>
      <c r="Q2" t="s">
        <v>33</v>
      </c>
      <c r="R2" t="str">
        <f>"ID27775"</f>
        <v>ID27775</v>
      </c>
      <c r="S2" t="str">
        <f>"WASHER TANK"</f>
        <v>WASHER TANK</v>
      </c>
      <c r="T2">
        <v>229.93</v>
      </c>
      <c r="U2" t="str">
        <f>"01"</f>
        <v>01</v>
      </c>
      <c r="V2" t="str">
        <f>"42-518"</f>
        <v>42-518</v>
      </c>
      <c r="W2" t="str">
        <f>"WASHER TANK"</f>
        <v>WASHER TANK</v>
      </c>
      <c r="X2">
        <v>229.93</v>
      </c>
      <c r="Y2" t="str">
        <f>""</f>
        <v/>
      </c>
    </row>
    <row r="3" spans="1:25" x14ac:dyDescent="0.25">
      <c r="A3" t="str">
        <f t="shared" si="0"/>
        <v>01</v>
      </c>
      <c r="B3" t="str">
        <f>"016055"</f>
        <v>016055</v>
      </c>
      <c r="C3" t="s">
        <v>34</v>
      </c>
      <c r="D3" t="s">
        <v>35</v>
      </c>
      <c r="F3" t="s">
        <v>36</v>
      </c>
      <c r="G3" t="s">
        <v>28</v>
      </c>
      <c r="H3" t="s">
        <v>37</v>
      </c>
      <c r="J3" t="s">
        <v>38</v>
      </c>
      <c r="K3" t="s">
        <v>30</v>
      </c>
      <c r="L3">
        <v>25068</v>
      </c>
      <c r="M3">
        <v>22.69</v>
      </c>
      <c r="N3" s="1">
        <v>44970</v>
      </c>
      <c r="O3" t="s">
        <v>31</v>
      </c>
      <c r="P3" t="s">
        <v>32</v>
      </c>
      <c r="Q3" t="s">
        <v>33</v>
      </c>
      <c r="R3" t="str">
        <f>"9993609071"</f>
        <v>9993609071</v>
      </c>
      <c r="S3" t="str">
        <f>"CYLINDER RENTAL"</f>
        <v>CYLINDER RENTAL</v>
      </c>
      <c r="T3">
        <v>22.69</v>
      </c>
      <c r="U3" t="str">
        <f>"51"</f>
        <v>51</v>
      </c>
      <c r="V3" t="str">
        <f>"44-830"</f>
        <v>44-830</v>
      </c>
      <c r="W3" t="str">
        <f>"CYLINDER RENTAL"</f>
        <v>CYLINDER RENTAL</v>
      </c>
      <c r="X3">
        <v>22.69</v>
      </c>
      <c r="Y3" t="str">
        <f>""</f>
        <v/>
      </c>
    </row>
    <row r="4" spans="1:25" x14ac:dyDescent="0.25">
      <c r="A4" t="str">
        <f t="shared" si="0"/>
        <v>01</v>
      </c>
      <c r="B4" t="str">
        <f>"000108"</f>
        <v>000108</v>
      </c>
      <c r="C4" t="s">
        <v>39</v>
      </c>
      <c r="D4" t="s">
        <v>40</v>
      </c>
      <c r="F4" t="s">
        <v>41</v>
      </c>
      <c r="G4" t="s">
        <v>42</v>
      </c>
      <c r="H4" t="s">
        <v>43</v>
      </c>
      <c r="J4" t="s">
        <v>44</v>
      </c>
      <c r="K4" t="s">
        <v>30</v>
      </c>
      <c r="L4">
        <v>25069</v>
      </c>
      <c r="M4">
        <v>1062.6600000000001</v>
      </c>
      <c r="N4" s="1">
        <v>44970</v>
      </c>
      <c r="O4" t="s">
        <v>31</v>
      </c>
      <c r="P4" t="s">
        <v>32</v>
      </c>
      <c r="Q4" t="s">
        <v>33</v>
      </c>
      <c r="R4" t="str">
        <f>"80116210"</f>
        <v>80116210</v>
      </c>
      <c r="S4" t="str">
        <f>"CELLULAR METER FEES 584 X 0.89"</f>
        <v>CELLULAR METER FEES 584 X 0.89</v>
      </c>
      <c r="T4">
        <v>519.76</v>
      </c>
      <c r="U4" t="str">
        <f>"51"</f>
        <v>51</v>
      </c>
      <c r="V4" t="str">
        <f>"44-533"</f>
        <v>44-533</v>
      </c>
      <c r="W4" t="str">
        <f>"CELLULAR METER FEES 584 X 0.89"</f>
        <v>CELLULAR METER FEES 584 X 0.89</v>
      </c>
      <c r="X4">
        <v>519.76</v>
      </c>
      <c r="Y4" t="str">
        <f>""</f>
        <v/>
      </c>
    </row>
    <row r="5" spans="1:25" x14ac:dyDescent="0.25">
      <c r="A5" t="str">
        <f t="shared" si="0"/>
        <v>01</v>
      </c>
      <c r="B5" t="str">
        <f>"000117"</f>
        <v>000117</v>
      </c>
      <c r="C5" t="s">
        <v>45</v>
      </c>
      <c r="D5" t="s">
        <v>46</v>
      </c>
      <c r="F5" t="s">
        <v>47</v>
      </c>
      <c r="G5" t="s">
        <v>28</v>
      </c>
      <c r="H5">
        <v>61021</v>
      </c>
      <c r="J5" t="s">
        <v>48</v>
      </c>
      <c r="K5" t="s">
        <v>30</v>
      </c>
      <c r="L5">
        <v>25070</v>
      </c>
      <c r="M5">
        <v>115.5</v>
      </c>
      <c r="N5" s="1">
        <v>44970</v>
      </c>
      <c r="O5" t="s">
        <v>31</v>
      </c>
      <c r="P5" t="s">
        <v>32</v>
      </c>
      <c r="Q5" t="s">
        <v>33</v>
      </c>
      <c r="R5" t="str">
        <f>"0208342-IN"</f>
        <v>0208342-IN</v>
      </c>
      <c r="S5" t="str">
        <f>"SHOVEL HOLDER STAINLESS STEEL"</f>
        <v>SHOVEL HOLDER STAINLESS STEEL</v>
      </c>
      <c r="T5">
        <v>115.5</v>
      </c>
      <c r="U5" t="str">
        <f>"01"</f>
        <v>01</v>
      </c>
      <c r="V5" t="str">
        <f>"42-514"</f>
        <v>42-514</v>
      </c>
      <c r="W5" t="str">
        <f>"SHOVEL HOLDER STAINLESS STEEL"</f>
        <v>SHOVEL HOLDER STAINLESS STEEL</v>
      </c>
      <c r="X5">
        <v>115.5</v>
      </c>
      <c r="Y5" t="str">
        <f>""</f>
        <v/>
      </c>
    </row>
    <row r="6" spans="1:25" x14ac:dyDescent="0.25">
      <c r="A6" t="str">
        <f t="shared" si="0"/>
        <v>01</v>
      </c>
      <c r="B6" t="str">
        <f>"000367"</f>
        <v>000367</v>
      </c>
      <c r="C6" t="s">
        <v>49</v>
      </c>
      <c r="D6" t="s">
        <v>50</v>
      </c>
      <c r="E6" t="s">
        <v>51</v>
      </c>
      <c r="F6" t="s">
        <v>52</v>
      </c>
      <c r="G6" t="s">
        <v>28</v>
      </c>
      <c r="H6">
        <v>61104</v>
      </c>
      <c r="K6" t="s">
        <v>30</v>
      </c>
      <c r="L6">
        <v>25071</v>
      </c>
      <c r="M6">
        <v>133</v>
      </c>
      <c r="N6" s="1">
        <v>44970</v>
      </c>
      <c r="O6" t="s">
        <v>31</v>
      </c>
      <c r="P6" t="s">
        <v>32</v>
      </c>
      <c r="Q6" t="s">
        <v>33</v>
      </c>
      <c r="R6" t="str">
        <f>"75002986"</f>
        <v>75002986</v>
      </c>
      <c r="S6" t="str">
        <f>"LAB SAMPLES"</f>
        <v>LAB SAMPLES</v>
      </c>
      <c r="T6">
        <v>133</v>
      </c>
      <c r="U6" t="str">
        <f>"51"</f>
        <v>51</v>
      </c>
      <c r="V6" t="str">
        <f>"44-579"</f>
        <v>44-579</v>
      </c>
      <c r="W6" t="str">
        <f>"LAB SAMPLES"</f>
        <v>LAB SAMPLES</v>
      </c>
      <c r="X6">
        <v>133</v>
      </c>
      <c r="Y6" t="str">
        <f>""</f>
        <v/>
      </c>
    </row>
    <row r="7" spans="1:25" x14ac:dyDescent="0.25">
      <c r="A7" t="str">
        <f t="shared" si="0"/>
        <v>01</v>
      </c>
      <c r="B7" t="str">
        <f t="shared" ref="B7" si="1">"000100"</f>
        <v>000100</v>
      </c>
      <c r="C7" t="s">
        <v>53</v>
      </c>
      <c r="D7" t="s">
        <v>54</v>
      </c>
      <c r="F7" t="s">
        <v>36</v>
      </c>
      <c r="G7" t="s">
        <v>28</v>
      </c>
      <c r="H7" t="s">
        <v>55</v>
      </c>
      <c r="K7" t="s">
        <v>30</v>
      </c>
      <c r="L7">
        <v>25072</v>
      </c>
      <c r="M7">
        <v>3009.06</v>
      </c>
      <c r="N7" s="1">
        <v>44970</v>
      </c>
      <c r="O7" t="s">
        <v>31</v>
      </c>
      <c r="P7" t="s">
        <v>32</v>
      </c>
      <c r="Q7" t="s">
        <v>33</v>
      </c>
      <c r="R7" t="str">
        <f>"108020012"</f>
        <v>108020012</v>
      </c>
      <c r="S7" t="str">
        <f t="shared" ref="S7" si="2">"FUEL"</f>
        <v>FUEL</v>
      </c>
      <c r="T7">
        <v>797.13</v>
      </c>
      <c r="U7" t="str">
        <f>"01"</f>
        <v>01</v>
      </c>
      <c r="V7" t="str">
        <f>"42-655"</f>
        <v>42-655</v>
      </c>
      <c r="W7" t="str">
        <f t="shared" ref="W7" si="3">"FUEL"</f>
        <v>FUEL</v>
      </c>
      <c r="X7">
        <v>398.56</v>
      </c>
      <c r="Y7" t="str">
        <f>""</f>
        <v/>
      </c>
    </row>
    <row r="8" spans="1:25" x14ac:dyDescent="0.25">
      <c r="A8" t="str">
        <f t="shared" si="0"/>
        <v>01</v>
      </c>
      <c r="B8" t="str">
        <f>"000460"</f>
        <v>000460</v>
      </c>
      <c r="C8" t="s">
        <v>56</v>
      </c>
      <c r="D8" t="s">
        <v>57</v>
      </c>
      <c r="F8" t="s">
        <v>58</v>
      </c>
      <c r="G8" t="s">
        <v>59</v>
      </c>
      <c r="H8">
        <v>63146</v>
      </c>
      <c r="J8" t="s">
        <v>60</v>
      </c>
      <c r="K8" t="s">
        <v>30</v>
      </c>
      <c r="L8">
        <v>25073</v>
      </c>
      <c r="M8">
        <v>280.63</v>
      </c>
      <c r="N8" s="1">
        <v>44970</v>
      </c>
      <c r="O8" t="s">
        <v>31</v>
      </c>
      <c r="P8" t="s">
        <v>32</v>
      </c>
      <c r="Q8" t="s">
        <v>33</v>
      </c>
      <c r="R8" t="str">
        <f>"S194037"</f>
        <v>S194037</v>
      </c>
      <c r="S8" t="str">
        <f>"A47-NL 1X2 FLG MTR ADPT PR"</f>
        <v>A47-NL 1X2 FLG MTR ADPT PR</v>
      </c>
      <c r="T8">
        <v>280.63</v>
      </c>
      <c r="U8" t="str">
        <f>"51"</f>
        <v>51</v>
      </c>
      <c r="V8" t="str">
        <f>"44-541"</f>
        <v>44-541</v>
      </c>
      <c r="W8" t="str">
        <f>"A47-NL 1X2 FLG MTR ADPT PR"</f>
        <v>A47-NL 1X2 FLG MTR ADPT PR</v>
      </c>
      <c r="X8">
        <v>280.63</v>
      </c>
      <c r="Y8" t="str">
        <f>""</f>
        <v/>
      </c>
    </row>
    <row r="9" spans="1:25" x14ac:dyDescent="0.25">
      <c r="A9" t="str">
        <f t="shared" si="0"/>
        <v>01</v>
      </c>
      <c r="B9" t="str">
        <f>"000038"</f>
        <v>000038</v>
      </c>
      <c r="C9" t="s">
        <v>61</v>
      </c>
      <c r="D9" t="s">
        <v>62</v>
      </c>
      <c r="F9" t="s">
        <v>63</v>
      </c>
      <c r="G9" t="s">
        <v>28</v>
      </c>
      <c r="H9">
        <v>61088</v>
      </c>
      <c r="K9" t="s">
        <v>30</v>
      </c>
      <c r="L9">
        <v>25074</v>
      </c>
      <c r="M9">
        <v>320</v>
      </c>
      <c r="N9" s="1">
        <v>44970</v>
      </c>
      <c r="O9" t="s">
        <v>31</v>
      </c>
      <c r="P9" t="s">
        <v>32</v>
      </c>
      <c r="Q9" t="s">
        <v>33</v>
      </c>
      <c r="R9" t="str">
        <f>"8022"</f>
        <v>8022</v>
      </c>
      <c r="S9" t="str">
        <f>"DECEMBER CLEANING"</f>
        <v>DECEMBER CLEANING</v>
      </c>
      <c r="T9">
        <v>160</v>
      </c>
      <c r="U9" t="str">
        <f>"01"</f>
        <v>01</v>
      </c>
      <c r="V9" t="str">
        <f>"41-661"</f>
        <v>41-661</v>
      </c>
      <c r="W9" t="str">
        <f>"DECEMBER CLEANING"</f>
        <v>DECEMBER CLEANING</v>
      </c>
      <c r="X9">
        <v>160</v>
      </c>
      <c r="Y9" t="str">
        <f>""</f>
        <v/>
      </c>
    </row>
    <row r="10" spans="1:25" x14ac:dyDescent="0.25">
      <c r="A10" t="str">
        <f t="shared" si="0"/>
        <v>01</v>
      </c>
      <c r="B10" t="str">
        <f>"000597"</f>
        <v>000597</v>
      </c>
      <c r="C10" t="s">
        <v>64</v>
      </c>
      <c r="D10" t="s">
        <v>65</v>
      </c>
      <c r="E10" t="s">
        <v>66</v>
      </c>
      <c r="F10" t="s">
        <v>67</v>
      </c>
      <c r="G10" t="s">
        <v>42</v>
      </c>
      <c r="H10">
        <v>53029</v>
      </c>
      <c r="J10" t="s">
        <v>68</v>
      </c>
      <c r="K10" t="s">
        <v>30</v>
      </c>
      <c r="L10">
        <v>25075</v>
      </c>
      <c r="M10">
        <v>150</v>
      </c>
      <c r="N10" s="1">
        <v>44970</v>
      </c>
      <c r="O10" t="s">
        <v>31</v>
      </c>
      <c r="P10" t="s">
        <v>32</v>
      </c>
      <c r="Q10" t="s">
        <v>33</v>
      </c>
      <c r="R10" t="str">
        <f>"370696"</f>
        <v>370696</v>
      </c>
      <c r="S10" t="str">
        <f>"SECTION 125 FLEX PLAN"</f>
        <v>SECTION 125 FLEX PLAN</v>
      </c>
      <c r="T10">
        <v>150</v>
      </c>
      <c r="U10" t="str">
        <f>"01"</f>
        <v>01</v>
      </c>
      <c r="V10" t="str">
        <f>"43-451"</f>
        <v>43-451</v>
      </c>
      <c r="W10" t="str">
        <f>"SECTION 125 FLEX PLAN"</f>
        <v>SECTION 125 FLEX PLAN</v>
      </c>
      <c r="X10">
        <v>37.5</v>
      </c>
      <c r="Y10" t="str">
        <f>""</f>
        <v/>
      </c>
    </row>
    <row r="11" spans="1:25" x14ac:dyDescent="0.25">
      <c r="A11" t="str">
        <f t="shared" si="0"/>
        <v>01</v>
      </c>
      <c r="B11" t="str">
        <f>"000024"</f>
        <v>000024</v>
      </c>
      <c r="C11" t="s">
        <v>69</v>
      </c>
      <c r="D11" t="s">
        <v>70</v>
      </c>
      <c r="F11" t="s">
        <v>71</v>
      </c>
      <c r="G11" t="s">
        <v>28</v>
      </c>
      <c r="H11">
        <v>61032</v>
      </c>
      <c r="J11" t="s">
        <v>72</v>
      </c>
      <c r="K11" t="s">
        <v>30</v>
      </c>
      <c r="L11">
        <v>25076</v>
      </c>
      <c r="M11">
        <v>8750</v>
      </c>
      <c r="N11" s="1">
        <v>44970</v>
      </c>
      <c r="O11" t="s">
        <v>31</v>
      </c>
      <c r="P11" t="s">
        <v>32</v>
      </c>
      <c r="Q11" t="s">
        <v>33</v>
      </c>
      <c r="R11" t="str">
        <f>"112689 PRJ:22-1342"</f>
        <v>112689 PRJ:22-1342</v>
      </c>
      <c r="S11" t="str">
        <f>"PREP OF WATER IEPA PROJ PLAN"</f>
        <v>PREP OF WATER IEPA PROJ PLAN</v>
      </c>
      <c r="T11">
        <v>8750</v>
      </c>
      <c r="U11" t="str">
        <f>"51"</f>
        <v>51</v>
      </c>
      <c r="V11" t="str">
        <f>"44-532"</f>
        <v>44-532</v>
      </c>
      <c r="W11" t="str">
        <f>"PREP OF WATER IEPA PROJ PLAN"</f>
        <v>PREP OF WATER IEPA PROJ PLAN</v>
      </c>
      <c r="X11">
        <v>8750</v>
      </c>
      <c r="Y11" t="str">
        <f>""</f>
        <v/>
      </c>
    </row>
    <row r="12" spans="1:25" x14ac:dyDescent="0.25">
      <c r="A12" t="str">
        <f t="shared" si="0"/>
        <v>01</v>
      </c>
      <c r="B12" t="str">
        <f>"000613"</f>
        <v>000613</v>
      </c>
      <c r="C12" t="s">
        <v>73</v>
      </c>
      <c r="D12" t="s">
        <v>74</v>
      </c>
      <c r="F12" t="s">
        <v>63</v>
      </c>
      <c r="G12" t="s">
        <v>28</v>
      </c>
      <c r="H12" t="s">
        <v>75</v>
      </c>
      <c r="J12" t="s">
        <v>76</v>
      </c>
      <c r="K12" t="s">
        <v>30</v>
      </c>
      <c r="L12">
        <v>25077</v>
      </c>
      <c r="M12">
        <v>50</v>
      </c>
      <c r="N12" s="1">
        <v>44970</v>
      </c>
      <c r="O12" t="s">
        <v>31</v>
      </c>
      <c r="P12" t="s">
        <v>32</v>
      </c>
      <c r="Q12" t="s">
        <v>33</v>
      </c>
      <c r="R12" t="str">
        <f>"000045"</f>
        <v>000045</v>
      </c>
      <c r="S12" t="str">
        <f>"LYONS FUNERAL"</f>
        <v>LYONS FUNERAL</v>
      </c>
      <c r="T12">
        <v>50</v>
      </c>
      <c r="U12" t="str">
        <f>"01"</f>
        <v>01</v>
      </c>
      <c r="V12" t="str">
        <f>"41-560"</f>
        <v>41-560</v>
      </c>
      <c r="W12" t="str">
        <f>"LYONS FUNERAL"</f>
        <v>LYONS FUNERAL</v>
      </c>
      <c r="X12">
        <v>50</v>
      </c>
      <c r="Y12" t="str">
        <f>""</f>
        <v/>
      </c>
    </row>
    <row r="13" spans="1:25" x14ac:dyDescent="0.25">
      <c r="A13" t="str">
        <f t="shared" si="0"/>
        <v>01</v>
      </c>
      <c r="B13" t="str">
        <f>"000083"</f>
        <v>000083</v>
      </c>
      <c r="C13" t="s">
        <v>77</v>
      </c>
      <c r="D13" t="s">
        <v>78</v>
      </c>
      <c r="F13" t="s">
        <v>52</v>
      </c>
      <c r="G13" t="s">
        <v>28</v>
      </c>
      <c r="H13" t="s">
        <v>79</v>
      </c>
      <c r="J13" t="s">
        <v>80</v>
      </c>
      <c r="K13" t="s">
        <v>30</v>
      </c>
      <c r="L13">
        <v>25078</v>
      </c>
      <c r="M13">
        <v>40915.089999999997</v>
      </c>
      <c r="N13" s="1">
        <v>44970</v>
      </c>
      <c r="O13" t="s">
        <v>31</v>
      </c>
      <c r="P13" t="s">
        <v>32</v>
      </c>
      <c r="Q13" t="s">
        <v>33</v>
      </c>
      <c r="R13" t="str">
        <f>"20000526"</f>
        <v>20000526</v>
      </c>
      <c r="S13" t="str">
        <f>"FULLER CREEK PH D &amp; F PMT 6/40"</f>
        <v>FULLER CREEK PH D &amp; F PMT 6/40</v>
      </c>
      <c r="T13">
        <v>40915.089999999997</v>
      </c>
      <c r="U13" t="str">
        <f>"51"</f>
        <v>51</v>
      </c>
      <c r="V13" t="str">
        <f>"44-702"</f>
        <v>44-702</v>
      </c>
      <c r="W13" t="str">
        <f>"FULLER CREEK PH D &amp; F PMT 6/40"</f>
        <v>FULLER CREEK PH D &amp; F PMT 6/40</v>
      </c>
      <c r="X13">
        <v>40915.089999999997</v>
      </c>
      <c r="Y13" t="str">
        <f>""</f>
        <v/>
      </c>
    </row>
    <row r="14" spans="1:25" x14ac:dyDescent="0.25">
      <c r="A14" t="str">
        <f t="shared" si="0"/>
        <v>01</v>
      </c>
      <c r="B14" t="str">
        <f>"000546"</f>
        <v>000546</v>
      </c>
      <c r="C14" t="s">
        <v>81</v>
      </c>
      <c r="D14" t="s">
        <v>82</v>
      </c>
      <c r="F14" t="s">
        <v>52</v>
      </c>
      <c r="G14" t="s">
        <v>28</v>
      </c>
      <c r="H14">
        <v>61125</v>
      </c>
      <c r="K14" t="s">
        <v>30</v>
      </c>
      <c r="L14">
        <v>25079</v>
      </c>
      <c r="M14">
        <v>3641.58</v>
      </c>
      <c r="N14" s="1">
        <v>44970</v>
      </c>
      <c r="O14" t="s">
        <v>31</v>
      </c>
      <c r="P14" t="s">
        <v>32</v>
      </c>
      <c r="Q14" t="s">
        <v>33</v>
      </c>
      <c r="R14" t="str">
        <f>"2000071403"</f>
        <v>2000071403</v>
      </c>
      <c r="S14" t="str">
        <f>"WEEK OF 12/26/22-1/1/23"</f>
        <v>WEEK OF 12/26/22-1/1/23</v>
      </c>
      <c r="T14">
        <v>592.88</v>
      </c>
      <c r="U14" t="str">
        <f>"01"</f>
        <v>01</v>
      </c>
      <c r="V14" t="str">
        <f>"41-421"</f>
        <v>41-421</v>
      </c>
      <c r="W14" t="str">
        <f>"WEEK OF 12/26/22-1/1/23"</f>
        <v>WEEK OF 12/26/22-1/1/23</v>
      </c>
      <c r="X14">
        <v>592.88</v>
      </c>
      <c r="Y14" t="str">
        <f>""</f>
        <v/>
      </c>
    </row>
    <row r="15" spans="1:25" x14ac:dyDescent="0.25">
      <c r="A15" t="str">
        <f t="shared" ref="A15:A32" si="4">"01"</f>
        <v>01</v>
      </c>
      <c r="B15" t="str">
        <f>"000044"</f>
        <v>000044</v>
      </c>
      <c r="C15" t="s">
        <v>83</v>
      </c>
      <c r="D15" t="s">
        <v>84</v>
      </c>
      <c r="E15" t="s">
        <v>85</v>
      </c>
      <c r="F15" t="s">
        <v>52</v>
      </c>
      <c r="G15" t="s">
        <v>28</v>
      </c>
      <c r="H15">
        <v>61101</v>
      </c>
      <c r="J15" t="s">
        <v>86</v>
      </c>
      <c r="K15" t="s">
        <v>30</v>
      </c>
      <c r="L15">
        <v>25080</v>
      </c>
      <c r="M15">
        <v>15039.36</v>
      </c>
      <c r="N15" s="1">
        <v>44970</v>
      </c>
      <c r="O15" t="s">
        <v>31</v>
      </c>
      <c r="P15" t="s">
        <v>32</v>
      </c>
      <c r="Q15" t="s">
        <v>33</v>
      </c>
      <c r="R15" t="str">
        <f>"202302022096"</f>
        <v>202302022096</v>
      </c>
      <c r="S15" t="str">
        <f>"2022 INVOICES THRU  NOVEMBER"</f>
        <v>2022 INVOICES THRU  NOVEMBER</v>
      </c>
      <c r="T15">
        <v>15039.36</v>
      </c>
      <c r="U15" t="str">
        <f>"17"</f>
        <v>17</v>
      </c>
      <c r="V15" t="str">
        <f>"47-533"</f>
        <v>47-533</v>
      </c>
      <c r="W15" t="str">
        <f>"2022 INVOICES THRU  NOVEMBER"</f>
        <v>2022 INVOICES THRU  NOVEMBER</v>
      </c>
      <c r="X15">
        <v>1873.1</v>
      </c>
      <c r="Y15" t="str">
        <f>""</f>
        <v/>
      </c>
    </row>
    <row r="16" spans="1:25" x14ac:dyDescent="0.25">
      <c r="A16" t="str">
        <f t="shared" si="4"/>
        <v>01</v>
      </c>
      <c r="B16" t="str">
        <f>"000536"</f>
        <v>000536</v>
      </c>
      <c r="C16" t="s">
        <v>87</v>
      </c>
      <c r="D16" t="s">
        <v>88</v>
      </c>
      <c r="E16" t="s">
        <v>89</v>
      </c>
      <c r="F16" t="s">
        <v>90</v>
      </c>
      <c r="G16" t="s">
        <v>91</v>
      </c>
      <c r="H16" t="s">
        <v>92</v>
      </c>
      <c r="J16" t="s">
        <v>93</v>
      </c>
      <c r="K16" t="s">
        <v>30</v>
      </c>
      <c r="L16">
        <v>25081</v>
      </c>
      <c r="M16">
        <v>34750.82</v>
      </c>
      <c r="N16" s="1">
        <v>44970</v>
      </c>
      <c r="O16" t="s">
        <v>31</v>
      </c>
      <c r="P16" t="s">
        <v>32</v>
      </c>
      <c r="Q16" t="s">
        <v>33</v>
      </c>
      <c r="R16" t="str">
        <f>"21797328T087"</f>
        <v>21797328T087</v>
      </c>
      <c r="S16" t="str">
        <f>"MONTHLY STATEMENT 12/2022"</f>
        <v>MONTHLY STATEMENT 12/2022</v>
      </c>
      <c r="T16">
        <v>17053.14</v>
      </c>
      <c r="U16" t="str">
        <f>"51"</f>
        <v>51</v>
      </c>
      <c r="V16" t="str">
        <f>"44-573"</f>
        <v>44-573</v>
      </c>
      <c r="W16" t="str">
        <f>"MONTHLY STATEMENT 12/2022"</f>
        <v>MONTHLY STATEMENT 12/2022</v>
      </c>
      <c r="X16">
        <v>17053.14</v>
      </c>
      <c r="Y16" t="str">
        <f>""</f>
        <v/>
      </c>
    </row>
    <row r="17" spans="1:25" x14ac:dyDescent="0.25">
      <c r="A17" t="str">
        <f t="shared" si="4"/>
        <v>01</v>
      </c>
      <c r="B17" t="str">
        <f>"016028"</f>
        <v>016028</v>
      </c>
      <c r="C17" t="s">
        <v>94</v>
      </c>
      <c r="D17" t="s">
        <v>95</v>
      </c>
      <c r="F17" t="s">
        <v>96</v>
      </c>
      <c r="G17" t="s">
        <v>28</v>
      </c>
      <c r="H17" t="s">
        <v>97</v>
      </c>
      <c r="K17" t="s">
        <v>30</v>
      </c>
      <c r="L17">
        <v>25082</v>
      </c>
      <c r="M17">
        <v>174.76</v>
      </c>
      <c r="N17" s="1">
        <v>44970</v>
      </c>
      <c r="O17" t="s">
        <v>31</v>
      </c>
      <c r="P17" t="s">
        <v>32</v>
      </c>
      <c r="Q17" t="s">
        <v>33</v>
      </c>
      <c r="R17" t="str">
        <f>"9561749392"</f>
        <v>9561749392</v>
      </c>
      <c r="S17" t="str">
        <f>"GAS VALVE AND HEX BUSHING"</f>
        <v>GAS VALVE AND HEX BUSHING</v>
      </c>
      <c r="T17">
        <v>174.76</v>
      </c>
      <c r="U17" t="str">
        <f>"01"</f>
        <v>01</v>
      </c>
      <c r="V17" t="str">
        <f>"42-511"</f>
        <v>42-511</v>
      </c>
      <c r="W17" t="str">
        <f>"GAS VALVE AND HEX BUSHING"</f>
        <v>GAS VALVE AND HEX BUSHING</v>
      </c>
      <c r="X17">
        <v>174.76</v>
      </c>
      <c r="Y17" t="str">
        <f>""</f>
        <v/>
      </c>
    </row>
    <row r="18" spans="1:25" x14ac:dyDescent="0.25">
      <c r="A18" t="str">
        <f t="shared" si="4"/>
        <v>01</v>
      </c>
      <c r="B18" t="str">
        <f>"000617"</f>
        <v>000617</v>
      </c>
      <c r="C18" t="s">
        <v>98</v>
      </c>
      <c r="D18" t="s">
        <v>99</v>
      </c>
      <c r="F18" t="s">
        <v>100</v>
      </c>
      <c r="G18" t="s">
        <v>28</v>
      </c>
      <c r="H18">
        <v>61047</v>
      </c>
      <c r="J18" t="s">
        <v>101</v>
      </c>
      <c r="K18" t="s">
        <v>30</v>
      </c>
      <c r="L18">
        <v>25083</v>
      </c>
      <c r="M18">
        <v>3000</v>
      </c>
      <c r="N18" s="1">
        <v>44970</v>
      </c>
      <c r="O18" t="s">
        <v>31</v>
      </c>
      <c r="P18" t="s">
        <v>32</v>
      </c>
      <c r="Q18" t="s">
        <v>33</v>
      </c>
      <c r="R18" t="str">
        <f>"984"</f>
        <v>984</v>
      </c>
      <c r="S18" t="str">
        <f>"RECYCLING OF ASPHALT"</f>
        <v>RECYCLING OF ASPHALT</v>
      </c>
      <c r="T18">
        <v>3000</v>
      </c>
      <c r="U18" t="str">
        <f>"01"</f>
        <v>01</v>
      </c>
      <c r="V18" t="str">
        <f>"42-514"</f>
        <v>42-514</v>
      </c>
      <c r="W18" t="str">
        <f>"RECYCLING OF ASPHALT"</f>
        <v>RECYCLING OF ASPHALT</v>
      </c>
      <c r="X18">
        <v>3000</v>
      </c>
      <c r="Y18" t="str">
        <f>""</f>
        <v/>
      </c>
    </row>
    <row r="19" spans="1:25" x14ac:dyDescent="0.25">
      <c r="A19" t="str">
        <f t="shared" si="4"/>
        <v>01</v>
      </c>
      <c r="B19" t="str">
        <f>"1"</f>
        <v>1</v>
      </c>
      <c r="C19" t="s">
        <v>102</v>
      </c>
      <c r="D19" t="s">
        <v>103</v>
      </c>
      <c r="E19" t="s">
        <v>104</v>
      </c>
      <c r="F19" t="s">
        <v>105</v>
      </c>
      <c r="G19" t="s">
        <v>28</v>
      </c>
      <c r="H19" t="s">
        <v>106</v>
      </c>
      <c r="K19" t="s">
        <v>30</v>
      </c>
      <c r="L19">
        <v>25084</v>
      </c>
      <c r="M19">
        <v>10</v>
      </c>
      <c r="N19" s="1">
        <v>44970</v>
      </c>
      <c r="O19" t="s">
        <v>31</v>
      </c>
      <c r="P19" t="s">
        <v>32</v>
      </c>
      <c r="Q19" t="s">
        <v>33</v>
      </c>
      <c r="R19" t="str">
        <f>"202301192071"</f>
        <v>202301192071</v>
      </c>
      <c r="S19" t="str">
        <f>"FINGERPRINT"</f>
        <v>FINGERPRINT</v>
      </c>
      <c r="T19">
        <v>10</v>
      </c>
      <c r="U19" t="str">
        <f>"51"</f>
        <v>51</v>
      </c>
      <c r="V19" t="str">
        <f>"44-530"</f>
        <v>44-530</v>
      </c>
      <c r="W19" t="str">
        <f>"IL STATE POLICE: FINGERPRINT"</f>
        <v>IL STATE POLICE: FINGERPRINT</v>
      </c>
      <c r="X19">
        <v>10</v>
      </c>
      <c r="Y19" t="str">
        <f>""</f>
        <v/>
      </c>
    </row>
    <row r="20" spans="1:25" x14ac:dyDescent="0.25">
      <c r="A20" t="str">
        <f t="shared" si="4"/>
        <v>01</v>
      </c>
      <c r="B20" t="str">
        <f>"000009"</f>
        <v>000009</v>
      </c>
      <c r="C20" t="s">
        <v>107</v>
      </c>
      <c r="D20" t="s">
        <v>108</v>
      </c>
      <c r="F20" t="s">
        <v>109</v>
      </c>
      <c r="G20" t="s">
        <v>28</v>
      </c>
      <c r="H20" t="s">
        <v>110</v>
      </c>
      <c r="K20" t="s">
        <v>30</v>
      </c>
      <c r="L20">
        <v>25085</v>
      </c>
      <c r="M20">
        <v>30</v>
      </c>
      <c r="N20" s="1">
        <v>44970</v>
      </c>
      <c r="O20" t="s">
        <v>31</v>
      </c>
      <c r="P20" t="s">
        <v>32</v>
      </c>
      <c r="Q20" t="s">
        <v>33</v>
      </c>
      <c r="R20" t="str">
        <f>"202302022088"</f>
        <v>202302022088</v>
      </c>
      <c r="S20" t="str">
        <f>"IML ANNUAL SUBSCRIPTION"</f>
        <v>IML ANNUAL SUBSCRIPTION</v>
      </c>
      <c r="T20">
        <v>30</v>
      </c>
      <c r="U20" t="str">
        <f>"01"</f>
        <v>01</v>
      </c>
      <c r="V20" t="str">
        <f>"41-561"</f>
        <v>41-561</v>
      </c>
      <c r="W20" t="str">
        <f>"IML ANNUAL SUBSCRIPTION"</f>
        <v>IML ANNUAL SUBSCRIPTION</v>
      </c>
      <c r="X20">
        <v>30</v>
      </c>
      <c r="Y20" t="str">
        <f>""</f>
        <v/>
      </c>
    </row>
    <row r="21" spans="1:25" x14ac:dyDescent="0.25">
      <c r="A21" t="str">
        <f t="shared" si="4"/>
        <v>01</v>
      </c>
      <c r="B21" t="str">
        <f>"000829"</f>
        <v>000829</v>
      </c>
      <c r="C21" t="s">
        <v>111</v>
      </c>
      <c r="D21" t="s">
        <v>112</v>
      </c>
      <c r="F21" t="s">
        <v>113</v>
      </c>
      <c r="G21" t="s">
        <v>28</v>
      </c>
      <c r="H21" t="s">
        <v>114</v>
      </c>
      <c r="J21" t="s">
        <v>115</v>
      </c>
      <c r="K21" t="s">
        <v>30</v>
      </c>
      <c r="L21">
        <v>25086</v>
      </c>
      <c r="M21">
        <v>400.8</v>
      </c>
      <c r="N21" s="1">
        <v>44970</v>
      </c>
      <c r="O21" t="s">
        <v>31</v>
      </c>
      <c r="P21" t="s">
        <v>32</v>
      </c>
      <c r="Q21" t="s">
        <v>33</v>
      </c>
      <c r="R21" t="str">
        <f>"2023-1943"</f>
        <v>2023-1943</v>
      </c>
      <c r="S21" t="str">
        <f>"2023 ANNNUAL ASSESSMENT"</f>
        <v>2023 ANNNUAL ASSESSMENT</v>
      </c>
      <c r="T21">
        <v>400.8</v>
      </c>
      <c r="U21" t="str">
        <f>"01"</f>
        <v>01</v>
      </c>
      <c r="V21" t="str">
        <f>"42-514"</f>
        <v>42-514</v>
      </c>
      <c r="W21" t="str">
        <f>"2023 ANNNUAL ASSESSMENT"</f>
        <v>2023 ANNNUAL ASSESSMENT</v>
      </c>
      <c r="X21">
        <v>400.8</v>
      </c>
      <c r="Y21" t="str">
        <f>""</f>
        <v/>
      </c>
    </row>
    <row r="22" spans="1:25" x14ac:dyDescent="0.25">
      <c r="A22" t="str">
        <f t="shared" si="4"/>
        <v>01</v>
      </c>
      <c r="B22" t="str">
        <f>"000307"</f>
        <v>000307</v>
      </c>
      <c r="C22" t="s">
        <v>116</v>
      </c>
      <c r="D22" t="s">
        <v>117</v>
      </c>
      <c r="F22" t="s">
        <v>118</v>
      </c>
      <c r="G22" t="s">
        <v>28</v>
      </c>
      <c r="H22">
        <v>61061</v>
      </c>
      <c r="I22" t="s">
        <v>119</v>
      </c>
      <c r="K22" t="s">
        <v>30</v>
      </c>
      <c r="L22">
        <v>25087</v>
      </c>
      <c r="M22">
        <v>1960</v>
      </c>
      <c r="N22" s="1">
        <v>44970</v>
      </c>
      <c r="O22" t="s">
        <v>31</v>
      </c>
      <c r="P22" t="s">
        <v>32</v>
      </c>
      <c r="Q22" t="s">
        <v>33</v>
      </c>
      <c r="R22" t="str">
        <f>"23-2"</f>
        <v>23-2</v>
      </c>
      <c r="S22" t="str">
        <f>"CODE ENFORCEMENT- JANUARY"</f>
        <v>CODE ENFORCEMENT- JANUARY</v>
      </c>
      <c r="T22">
        <v>960</v>
      </c>
      <c r="U22" t="str">
        <f>"17"</f>
        <v>17</v>
      </c>
      <c r="V22" t="str">
        <f>"47-422"</f>
        <v>47-422</v>
      </c>
      <c r="W22" t="str">
        <f>"CODE ENFORCEMENT- JANUARY"</f>
        <v>CODE ENFORCEMENT- JANUARY</v>
      </c>
      <c r="X22">
        <v>960</v>
      </c>
      <c r="Y22" t="str">
        <f>""</f>
        <v/>
      </c>
    </row>
    <row r="23" spans="1:25" x14ac:dyDescent="0.25">
      <c r="A23" t="str">
        <f t="shared" si="4"/>
        <v>01</v>
      </c>
      <c r="B23" t="str">
        <f>"000257"</f>
        <v>000257</v>
      </c>
      <c r="C23" t="s">
        <v>120</v>
      </c>
      <c r="D23" t="s">
        <v>121</v>
      </c>
      <c r="F23" t="s">
        <v>122</v>
      </c>
      <c r="G23" t="s">
        <v>28</v>
      </c>
      <c r="H23">
        <v>61080</v>
      </c>
      <c r="J23" t="s">
        <v>123</v>
      </c>
      <c r="K23" t="s">
        <v>30</v>
      </c>
      <c r="L23">
        <v>25088</v>
      </c>
      <c r="M23">
        <v>1200</v>
      </c>
      <c r="N23" s="1">
        <v>44970</v>
      </c>
      <c r="O23" t="s">
        <v>31</v>
      </c>
      <c r="P23" t="s">
        <v>32</v>
      </c>
      <c r="Q23" t="s">
        <v>33</v>
      </c>
      <c r="R23" t="str">
        <f>"1671"</f>
        <v>1671</v>
      </c>
      <c r="S23" t="str">
        <f>"ACCOUNTING NOV 1-JAN 26"</f>
        <v>ACCOUNTING NOV 1-JAN 26</v>
      </c>
      <c r="T23">
        <v>1200</v>
      </c>
      <c r="U23" t="str">
        <f>"01"</f>
        <v>01</v>
      </c>
      <c r="V23" t="str">
        <f>"41-530"</f>
        <v>41-530</v>
      </c>
      <c r="W23" t="str">
        <f>"ACCOUNTING NOV 1-JAN 26"</f>
        <v>ACCOUNTING NOV 1-JAN 26</v>
      </c>
      <c r="X23">
        <v>1200</v>
      </c>
      <c r="Y23" t="str">
        <f>""</f>
        <v/>
      </c>
    </row>
    <row r="24" spans="1:25" x14ac:dyDescent="0.25">
      <c r="A24" t="str">
        <f t="shared" si="4"/>
        <v>01</v>
      </c>
      <c r="B24" t="str">
        <f>"000255"</f>
        <v>000255</v>
      </c>
      <c r="C24" t="s">
        <v>124</v>
      </c>
      <c r="D24" t="s">
        <v>125</v>
      </c>
      <c r="F24" t="s">
        <v>52</v>
      </c>
      <c r="G24" t="s">
        <v>28</v>
      </c>
      <c r="H24">
        <v>61102</v>
      </c>
      <c r="J24" t="s">
        <v>126</v>
      </c>
      <c r="K24" t="s">
        <v>30</v>
      </c>
      <c r="L24">
        <v>25089</v>
      </c>
      <c r="M24">
        <v>752</v>
      </c>
      <c r="N24" s="1">
        <v>44970</v>
      </c>
      <c r="O24" t="s">
        <v>31</v>
      </c>
      <c r="P24" t="s">
        <v>32</v>
      </c>
      <c r="Q24" t="s">
        <v>33</v>
      </c>
      <c r="R24" t="str">
        <f>"202301192070"</f>
        <v>202301192070</v>
      </c>
      <c r="S24" t="str">
        <f>"PW  SHIRTS"</f>
        <v>PW  SHIRTS</v>
      </c>
      <c r="T24">
        <v>752</v>
      </c>
      <c r="U24" t="str">
        <f>"51"</f>
        <v>51</v>
      </c>
      <c r="V24" t="str">
        <f>"44-651"</f>
        <v>44-651</v>
      </c>
      <c r="W24" t="str">
        <f>"PW  SHIRTS"</f>
        <v>PW  SHIRTS</v>
      </c>
      <c r="X24">
        <v>752</v>
      </c>
      <c r="Y24" t="str">
        <f>""</f>
        <v/>
      </c>
    </row>
    <row r="25" spans="1:25" x14ac:dyDescent="0.25">
      <c r="A25" t="str">
        <f t="shared" si="4"/>
        <v>01</v>
      </c>
      <c r="B25" t="str">
        <f>"000731"</f>
        <v>000731</v>
      </c>
      <c r="C25" t="s">
        <v>127</v>
      </c>
      <c r="D25" t="s">
        <v>128</v>
      </c>
      <c r="F25" t="s">
        <v>52</v>
      </c>
      <c r="G25" t="s">
        <v>28</v>
      </c>
      <c r="H25">
        <v>61112</v>
      </c>
      <c r="J25" t="s">
        <v>129</v>
      </c>
      <c r="K25" t="s">
        <v>30</v>
      </c>
      <c r="L25">
        <v>25090</v>
      </c>
      <c r="M25">
        <v>482.24</v>
      </c>
      <c r="N25" s="1">
        <v>44970</v>
      </c>
      <c r="O25" t="s">
        <v>31</v>
      </c>
      <c r="P25" t="s">
        <v>32</v>
      </c>
      <c r="Q25" t="s">
        <v>33</v>
      </c>
      <c r="R25" t="str">
        <f>"22765"</f>
        <v>22765</v>
      </c>
      <c r="S25" t="str">
        <f>"AC2 GREEN TREATED"</f>
        <v>AC2 GREEN TREATED</v>
      </c>
      <c r="T25">
        <v>95.72</v>
      </c>
      <c r="U25" t="str">
        <f>"01"</f>
        <v>01</v>
      </c>
      <c r="V25" t="str">
        <f>"42-651"</f>
        <v>42-651</v>
      </c>
      <c r="W25" t="str">
        <f>"AC2 GREEN TREATED"</f>
        <v>AC2 GREEN TREATED</v>
      </c>
      <c r="X25">
        <v>95.72</v>
      </c>
      <c r="Y25" t="str">
        <f>""</f>
        <v/>
      </c>
    </row>
    <row r="26" spans="1:25" x14ac:dyDescent="0.25">
      <c r="A26" t="str">
        <f t="shared" si="4"/>
        <v>01</v>
      </c>
      <c r="B26" t="str">
        <f>"000360"</f>
        <v>000360</v>
      </c>
      <c r="C26" t="s">
        <v>130</v>
      </c>
      <c r="D26" t="s">
        <v>131</v>
      </c>
      <c r="E26" t="s">
        <v>132</v>
      </c>
      <c r="F26" t="s">
        <v>133</v>
      </c>
      <c r="G26" t="s">
        <v>28</v>
      </c>
      <c r="H26" t="s">
        <v>134</v>
      </c>
      <c r="I26" t="s">
        <v>135</v>
      </c>
      <c r="J26" t="s">
        <v>136</v>
      </c>
      <c r="K26" t="s">
        <v>30</v>
      </c>
      <c r="L26">
        <v>25091</v>
      </c>
      <c r="M26">
        <v>4748.1499999999996</v>
      </c>
      <c r="N26" s="1">
        <v>44970</v>
      </c>
      <c r="O26" t="s">
        <v>31</v>
      </c>
      <c r="P26" t="s">
        <v>32</v>
      </c>
      <c r="Q26" t="s">
        <v>33</v>
      </c>
      <c r="R26" t="str">
        <f>"0150271-IN"</f>
        <v>0150271-IN</v>
      </c>
      <c r="S26" t="str">
        <f>"NEW METERS 24 COUNT"</f>
        <v>NEW METERS 24 COUNT</v>
      </c>
      <c r="T26">
        <v>4475.97</v>
      </c>
      <c r="U26" t="str">
        <f>"51"</f>
        <v>51</v>
      </c>
      <c r="V26" t="str">
        <f>"44-541"</f>
        <v>44-541</v>
      </c>
      <c r="W26" t="str">
        <f>"NEW METERS 24 COUNT"</f>
        <v>NEW METERS 24 COUNT</v>
      </c>
      <c r="X26">
        <v>4475.97</v>
      </c>
      <c r="Y26" t="str">
        <f>""</f>
        <v/>
      </c>
    </row>
    <row r="27" spans="1:25" x14ac:dyDescent="0.25">
      <c r="A27" t="str">
        <f t="shared" si="4"/>
        <v>01</v>
      </c>
      <c r="B27" t="str">
        <f>"000835"</f>
        <v>000835</v>
      </c>
      <c r="C27" t="s">
        <v>137</v>
      </c>
      <c r="D27" t="s">
        <v>138</v>
      </c>
      <c r="F27" t="s">
        <v>139</v>
      </c>
      <c r="G27" t="s">
        <v>42</v>
      </c>
      <c r="H27">
        <v>53566</v>
      </c>
      <c r="J27" t="s">
        <v>140</v>
      </c>
      <c r="K27" t="s">
        <v>30</v>
      </c>
      <c r="L27">
        <v>25092</v>
      </c>
      <c r="M27">
        <v>1524.51</v>
      </c>
      <c r="N27" s="1">
        <v>44970</v>
      </c>
      <c r="O27" t="s">
        <v>31</v>
      </c>
      <c r="P27" t="s">
        <v>32</v>
      </c>
      <c r="Q27" t="s">
        <v>33</v>
      </c>
      <c r="R27" t="str">
        <f>"22979"</f>
        <v>22979</v>
      </c>
      <c r="S27" t="str">
        <f>"CUTTING EDGE SLOTTED HWY PUNCH"</f>
        <v>CUTTING EDGE SLOTTED HWY PUNCH</v>
      </c>
      <c r="T27">
        <v>1524.51</v>
      </c>
      <c r="U27" t="str">
        <f t="shared" ref="U27:U29" si="5">"01"</f>
        <v>01</v>
      </c>
      <c r="V27" t="str">
        <f>"42-518"</f>
        <v>42-518</v>
      </c>
      <c r="W27" t="str">
        <f>"CUTTING EDGE SLOTTED HWY PUNCH"</f>
        <v>CUTTING EDGE SLOTTED HWY PUNCH</v>
      </c>
      <c r="X27">
        <v>1524.51</v>
      </c>
      <c r="Y27" t="str">
        <f>""</f>
        <v/>
      </c>
    </row>
    <row r="28" spans="1:25" x14ac:dyDescent="0.25">
      <c r="A28" t="str">
        <f t="shared" si="4"/>
        <v>01</v>
      </c>
      <c r="B28" t="str">
        <f t="shared" ref="B28" si="6">"000603"</f>
        <v>000603</v>
      </c>
      <c r="C28" t="s">
        <v>141</v>
      </c>
      <c r="D28" t="s">
        <v>142</v>
      </c>
      <c r="F28" t="s">
        <v>36</v>
      </c>
      <c r="G28" t="s">
        <v>28</v>
      </c>
      <c r="H28">
        <v>60693</v>
      </c>
      <c r="K28" t="s">
        <v>30</v>
      </c>
      <c r="L28">
        <v>25093</v>
      </c>
      <c r="M28">
        <v>293.55</v>
      </c>
      <c r="N28" s="1">
        <v>44970</v>
      </c>
      <c r="O28" t="s">
        <v>31</v>
      </c>
      <c r="P28" t="s">
        <v>32</v>
      </c>
      <c r="Q28" t="s">
        <v>33</v>
      </c>
      <c r="R28" t="str">
        <f>"1411001140"</f>
        <v>1411001140</v>
      </c>
      <c r="S28" t="str">
        <f>"SERVICE 5/1/22-6/30/22"</f>
        <v>SERVICE 5/1/22-6/30/22</v>
      </c>
      <c r="T28">
        <v>77.790000000000006</v>
      </c>
      <c r="U28" t="str">
        <f t="shared" si="5"/>
        <v>01</v>
      </c>
      <c r="V28" t="str">
        <f t="shared" ref="V28" si="7">"43-530"</f>
        <v>43-530</v>
      </c>
      <c r="W28" t="str">
        <f>"SERVICE 5/1/22-6/30/22"</f>
        <v>SERVICE 5/1/22-6/30/22</v>
      </c>
      <c r="X28">
        <v>77.790000000000006</v>
      </c>
      <c r="Y28" t="str">
        <f>""</f>
        <v/>
      </c>
    </row>
    <row r="29" spans="1:25" x14ac:dyDescent="0.25">
      <c r="A29" t="str">
        <f t="shared" si="4"/>
        <v>01</v>
      </c>
      <c r="B29" t="str">
        <f>"000496"</f>
        <v>000496</v>
      </c>
      <c r="C29" t="s">
        <v>143</v>
      </c>
      <c r="D29" t="s">
        <v>144</v>
      </c>
      <c r="E29" t="s">
        <v>145</v>
      </c>
      <c r="F29" t="s">
        <v>146</v>
      </c>
      <c r="G29" t="s">
        <v>28</v>
      </c>
      <c r="H29">
        <v>61063</v>
      </c>
      <c r="I29" t="s">
        <v>147</v>
      </c>
      <c r="J29" t="s">
        <v>148</v>
      </c>
      <c r="K29" t="s">
        <v>30</v>
      </c>
      <c r="L29">
        <v>25094</v>
      </c>
      <c r="M29">
        <v>17</v>
      </c>
      <c r="N29" s="1">
        <v>44970</v>
      </c>
      <c r="O29" t="s">
        <v>31</v>
      </c>
      <c r="P29" t="s">
        <v>32</v>
      </c>
      <c r="Q29" t="s">
        <v>33</v>
      </c>
      <c r="R29" t="str">
        <f>"202301122064"</f>
        <v>202301122064</v>
      </c>
      <c r="S29" t="str">
        <f>"NAME PLATE-MIKE BOOKER"</f>
        <v>NAME PLATE-MIKE BOOKER</v>
      </c>
      <c r="T29">
        <v>17</v>
      </c>
      <c r="U29" t="str">
        <f t="shared" si="5"/>
        <v>01</v>
      </c>
      <c r="V29" t="str">
        <f>"41-660"</f>
        <v>41-660</v>
      </c>
      <c r="W29" t="str">
        <f>"NAME PLATE-MIKE BOOKER"</f>
        <v>NAME PLATE-MIKE BOOKER</v>
      </c>
      <c r="X29">
        <v>17</v>
      </c>
      <c r="Y29" t="str">
        <f>""</f>
        <v/>
      </c>
    </row>
    <row r="30" spans="1:25" x14ac:dyDescent="0.25">
      <c r="A30" t="str">
        <f t="shared" si="4"/>
        <v>01</v>
      </c>
      <c r="B30" t="str">
        <f>"000298"</f>
        <v>000298</v>
      </c>
      <c r="C30" t="s">
        <v>149</v>
      </c>
      <c r="D30" t="s">
        <v>150</v>
      </c>
      <c r="F30" t="s">
        <v>36</v>
      </c>
      <c r="G30" t="s">
        <v>28</v>
      </c>
      <c r="H30" t="s">
        <v>151</v>
      </c>
      <c r="J30" t="s">
        <v>152</v>
      </c>
      <c r="K30" t="s">
        <v>30</v>
      </c>
      <c r="L30">
        <v>25095</v>
      </c>
      <c r="M30">
        <v>95.5</v>
      </c>
      <c r="N30" s="1">
        <v>44970</v>
      </c>
      <c r="O30" t="s">
        <v>31</v>
      </c>
      <c r="P30" t="s">
        <v>32</v>
      </c>
      <c r="Q30" t="s">
        <v>33</v>
      </c>
      <c r="R30" t="str">
        <f>"I9543660"</f>
        <v>I9543660</v>
      </c>
      <c r="S30" t="str">
        <f>"FLUORIDE"</f>
        <v>FLUORIDE</v>
      </c>
      <c r="T30">
        <v>95.5</v>
      </c>
      <c r="U30" t="str">
        <f>"51"</f>
        <v>51</v>
      </c>
      <c r="V30" t="str">
        <f>"44-579"</f>
        <v>44-579</v>
      </c>
      <c r="W30" t="str">
        <f>"FLUORIDE"</f>
        <v>FLUORIDE</v>
      </c>
      <c r="X30">
        <v>95.5</v>
      </c>
      <c r="Y30" t="str">
        <f>""</f>
        <v/>
      </c>
    </row>
    <row r="31" spans="1:25" x14ac:dyDescent="0.25">
      <c r="A31" t="str">
        <f t="shared" si="4"/>
        <v>01</v>
      </c>
      <c r="B31" t="str">
        <f>"000807"</f>
        <v>000807</v>
      </c>
      <c r="C31" t="s">
        <v>153</v>
      </c>
      <c r="D31" t="s">
        <v>154</v>
      </c>
      <c r="F31" t="s">
        <v>155</v>
      </c>
      <c r="G31" t="s">
        <v>28</v>
      </c>
      <c r="H31">
        <v>61111</v>
      </c>
      <c r="J31" t="s">
        <v>156</v>
      </c>
      <c r="K31" t="s">
        <v>30</v>
      </c>
      <c r="L31">
        <v>25096</v>
      </c>
      <c r="M31">
        <v>92.5</v>
      </c>
      <c r="N31" s="1">
        <v>44970</v>
      </c>
      <c r="O31" t="s">
        <v>31</v>
      </c>
      <c r="P31" t="s">
        <v>32</v>
      </c>
      <c r="Q31" t="s">
        <v>33</v>
      </c>
      <c r="R31" t="str">
        <f>"87584"</f>
        <v>87584</v>
      </c>
      <c r="S31" t="str">
        <f>"RENTAL FEE 4TH QUARTER FY'22"</f>
        <v>RENTAL FEE 4TH QUARTER FY'22</v>
      </c>
      <c r="T31">
        <v>25</v>
      </c>
      <c r="U31" t="str">
        <f>"01"</f>
        <v>01</v>
      </c>
      <c r="V31" t="str">
        <f>"41-661"</f>
        <v>41-661</v>
      </c>
      <c r="W31" t="str">
        <f>"RENTAL FEE 4TH QUARTER FY'22"</f>
        <v>RENTAL FEE 4TH QUARTER FY'22</v>
      </c>
      <c r="X31">
        <v>25</v>
      </c>
      <c r="Y31" t="str">
        <f>""</f>
        <v/>
      </c>
    </row>
    <row r="32" spans="1:25" x14ac:dyDescent="0.25">
      <c r="A32" t="str">
        <f t="shared" si="4"/>
        <v>01</v>
      </c>
      <c r="B32" t="str">
        <f>"016054"</f>
        <v>016054</v>
      </c>
      <c r="C32" t="s">
        <v>157</v>
      </c>
      <c r="D32" t="s">
        <v>158</v>
      </c>
      <c r="E32" t="s">
        <v>159</v>
      </c>
      <c r="F32" t="s">
        <v>139</v>
      </c>
      <c r="G32" t="s">
        <v>42</v>
      </c>
      <c r="H32">
        <v>53566</v>
      </c>
      <c r="J32" t="s">
        <v>160</v>
      </c>
      <c r="K32" t="s">
        <v>30</v>
      </c>
      <c r="L32">
        <v>25097</v>
      </c>
      <c r="M32">
        <v>448</v>
      </c>
      <c r="N32" s="1">
        <v>44970</v>
      </c>
      <c r="O32" t="s">
        <v>31</v>
      </c>
      <c r="P32" t="s">
        <v>32</v>
      </c>
      <c r="Q32" t="s">
        <v>33</v>
      </c>
      <c r="R32" t="str">
        <f>"3396474"</f>
        <v>3396474</v>
      </c>
      <c r="S32" t="str">
        <f>"MILWAUKEE BATTERY LI-ION"</f>
        <v>MILWAUKEE BATTERY LI-ION</v>
      </c>
      <c r="T32">
        <v>199</v>
      </c>
      <c r="U32" t="str">
        <f>"51"</f>
        <v>51</v>
      </c>
      <c r="V32" t="str">
        <f>"44-830"</f>
        <v>44-830</v>
      </c>
      <c r="W32" t="str">
        <f>"MILWAUKEE BATTERY LI-ION"</f>
        <v>MILWAUKEE BATTERY LI-ION</v>
      </c>
      <c r="X32">
        <v>199</v>
      </c>
      <c r="Y32" t="str">
        <f>""</f>
        <v/>
      </c>
    </row>
    <row r="33" spans="1:25" x14ac:dyDescent="0.25">
      <c r="A33" t="str">
        <f t="shared" ref="A33:A45" si="8">"01"</f>
        <v>01</v>
      </c>
      <c r="B33" t="str">
        <f t="shared" ref="B33" si="9">"000007"</f>
        <v>000007</v>
      </c>
      <c r="C33" t="s">
        <v>161</v>
      </c>
      <c r="D33" t="s">
        <v>162</v>
      </c>
      <c r="F33" t="s">
        <v>63</v>
      </c>
      <c r="G33" t="s">
        <v>28</v>
      </c>
      <c r="H33">
        <v>61088</v>
      </c>
      <c r="K33" t="s">
        <v>30</v>
      </c>
      <c r="L33">
        <v>25098</v>
      </c>
      <c r="M33">
        <v>275.04000000000002</v>
      </c>
      <c r="N33" s="1">
        <v>44970</v>
      </c>
      <c r="O33" t="s">
        <v>31</v>
      </c>
      <c r="P33" t="s">
        <v>32</v>
      </c>
      <c r="Q33" t="s">
        <v>33</v>
      </c>
      <c r="R33" t="str">
        <f>"202301262080"</f>
        <v>202301262080</v>
      </c>
      <c r="S33" t="str">
        <f>"REIMBURSE PETTY CASH JAN"</f>
        <v>REIMBURSE PETTY CASH JAN</v>
      </c>
      <c r="T33">
        <v>114.82</v>
      </c>
      <c r="U33" t="str">
        <f t="shared" ref="U33" si="10">"01"</f>
        <v>01</v>
      </c>
      <c r="V33" t="str">
        <f>"43-551"</f>
        <v>43-551</v>
      </c>
      <c r="W33" t="str">
        <f>"REIMBURSE PETTY CASH"</f>
        <v>REIMBURSE PETTY CASH</v>
      </c>
      <c r="X33">
        <v>7.85</v>
      </c>
      <c r="Y33" t="str">
        <f>""</f>
        <v/>
      </c>
    </row>
    <row r="34" spans="1:25" x14ac:dyDescent="0.25">
      <c r="A34" t="str">
        <f t="shared" si="8"/>
        <v>01</v>
      </c>
      <c r="B34" t="str">
        <f>"000416"</f>
        <v>000416</v>
      </c>
      <c r="C34" t="s">
        <v>163</v>
      </c>
      <c r="D34" t="s">
        <v>164</v>
      </c>
      <c r="F34" t="s">
        <v>52</v>
      </c>
      <c r="G34" t="s">
        <v>28</v>
      </c>
      <c r="H34">
        <v>61104</v>
      </c>
      <c r="K34" t="s">
        <v>30</v>
      </c>
      <c r="L34">
        <v>25099</v>
      </c>
      <c r="M34">
        <v>152</v>
      </c>
      <c r="N34" s="1">
        <v>44970</v>
      </c>
      <c r="O34" t="s">
        <v>31</v>
      </c>
      <c r="P34" t="s">
        <v>32</v>
      </c>
      <c r="Q34" t="s">
        <v>33</v>
      </c>
      <c r="R34" t="str">
        <f>"202301242074"</f>
        <v>202301242074</v>
      </c>
      <c r="S34" t="str">
        <f>"STATE VEHICLE INSPECTION"</f>
        <v>STATE VEHICLE INSPECTION</v>
      </c>
      <c r="T34">
        <v>152</v>
      </c>
      <c r="U34" t="str">
        <f>"01"</f>
        <v>01</v>
      </c>
      <c r="V34" t="str">
        <f>"42-513"</f>
        <v>42-513</v>
      </c>
      <c r="W34" t="str">
        <f>"STATE VEHICLE INSPECTION"</f>
        <v>STATE VEHICLE INSPECTION</v>
      </c>
      <c r="X34">
        <v>152</v>
      </c>
      <c r="Y34" t="str">
        <f>""</f>
        <v/>
      </c>
    </row>
    <row r="35" spans="1:25" x14ac:dyDescent="0.25">
      <c r="A35" t="str">
        <f t="shared" si="8"/>
        <v>01</v>
      </c>
      <c r="B35" t="str">
        <f>"000582"</f>
        <v>000582</v>
      </c>
      <c r="C35" t="s">
        <v>165</v>
      </c>
      <c r="D35" t="s">
        <v>166</v>
      </c>
      <c r="E35" t="s">
        <v>167</v>
      </c>
      <c r="F35" t="s">
        <v>168</v>
      </c>
      <c r="G35" t="s">
        <v>169</v>
      </c>
      <c r="H35" t="s">
        <v>170</v>
      </c>
      <c r="K35" t="s">
        <v>30</v>
      </c>
      <c r="L35">
        <v>25100</v>
      </c>
      <c r="M35">
        <v>1667.2</v>
      </c>
      <c r="N35" s="1">
        <v>44970</v>
      </c>
      <c r="O35" t="s">
        <v>31</v>
      </c>
      <c r="P35" t="s">
        <v>32</v>
      </c>
      <c r="Q35" t="s">
        <v>33</v>
      </c>
      <c r="R35" t="str">
        <f>"0228166"</f>
        <v>0228166</v>
      </c>
      <c r="S35" t="str">
        <f>"CHEMICAL PUMP"</f>
        <v>CHEMICAL PUMP</v>
      </c>
      <c r="T35">
        <v>1667.2</v>
      </c>
      <c r="U35" t="str">
        <f>"51"</f>
        <v>51</v>
      </c>
      <c r="V35" t="str">
        <f>"44-830"</f>
        <v>44-830</v>
      </c>
      <c r="W35" t="str">
        <f>"CHEMICAL PUMP"</f>
        <v>CHEMICAL PUMP</v>
      </c>
      <c r="X35">
        <v>1667.2</v>
      </c>
      <c r="Y35" t="str">
        <f>""</f>
        <v/>
      </c>
    </row>
    <row r="36" spans="1:25" x14ac:dyDescent="0.25">
      <c r="A36" t="str">
        <f t="shared" si="8"/>
        <v>01</v>
      </c>
      <c r="B36" t="str">
        <f>"000051"</f>
        <v>000051</v>
      </c>
      <c r="C36" t="s">
        <v>171</v>
      </c>
      <c r="D36" t="s">
        <v>172</v>
      </c>
      <c r="E36" t="s">
        <v>173</v>
      </c>
      <c r="F36" t="s">
        <v>63</v>
      </c>
      <c r="G36" t="s">
        <v>28</v>
      </c>
      <c r="H36">
        <v>61088</v>
      </c>
      <c r="J36" t="s">
        <v>174</v>
      </c>
      <c r="K36" t="s">
        <v>30</v>
      </c>
      <c r="L36">
        <v>25101</v>
      </c>
      <c r="M36">
        <v>425</v>
      </c>
      <c r="N36" s="1">
        <v>44970</v>
      </c>
      <c r="O36" t="s">
        <v>31</v>
      </c>
      <c r="P36" t="s">
        <v>32</v>
      </c>
      <c r="Q36" t="s">
        <v>33</v>
      </c>
      <c r="R36" t="str">
        <f>"202301312084"</f>
        <v>202301312084</v>
      </c>
      <c r="S36" t="str">
        <f>"POSTAGE FOR WATER BILLS"</f>
        <v>POSTAGE FOR WATER BILLS</v>
      </c>
      <c r="T36">
        <v>425</v>
      </c>
      <c r="U36" t="str">
        <f>"51"</f>
        <v>51</v>
      </c>
      <c r="V36" t="str">
        <f>"44-551"</f>
        <v>44-551</v>
      </c>
      <c r="W36" t="str">
        <f>"POSTAGE FOR WATER BILLS"</f>
        <v>POSTAGE FOR WATER BILLS</v>
      </c>
      <c r="X36">
        <v>425</v>
      </c>
      <c r="Y36" t="str">
        <f>""</f>
        <v/>
      </c>
    </row>
    <row r="37" spans="1:25" x14ac:dyDescent="0.25">
      <c r="A37" t="str">
        <f t="shared" si="8"/>
        <v>01</v>
      </c>
      <c r="B37" t="str">
        <f>"000526"</f>
        <v>000526</v>
      </c>
      <c r="C37" t="s">
        <v>175</v>
      </c>
      <c r="D37" t="s">
        <v>176</v>
      </c>
      <c r="F37" t="s">
        <v>52</v>
      </c>
      <c r="G37" t="s">
        <v>28</v>
      </c>
      <c r="H37">
        <v>61109</v>
      </c>
      <c r="J37" t="s">
        <v>177</v>
      </c>
      <c r="K37" t="s">
        <v>30</v>
      </c>
      <c r="L37">
        <v>25102</v>
      </c>
      <c r="M37">
        <v>786</v>
      </c>
      <c r="N37" s="1">
        <v>44970</v>
      </c>
      <c r="O37" t="s">
        <v>31</v>
      </c>
      <c r="P37" t="s">
        <v>32</v>
      </c>
      <c r="Q37" t="s">
        <v>33</v>
      </c>
      <c r="R37" t="str">
        <f>"A0014814"</f>
        <v>A0014814</v>
      </c>
      <c r="S37" t="str">
        <f>"2022 FORD EXPLORER DECALS"</f>
        <v>2022 FORD EXPLORER DECALS</v>
      </c>
      <c r="T37">
        <v>786</v>
      </c>
      <c r="U37" t="str">
        <f>"01"</f>
        <v>01</v>
      </c>
      <c r="V37" t="str">
        <f>"43-831"</f>
        <v>43-831</v>
      </c>
      <c r="W37" t="str">
        <f>"2022 FORD EXPLORER DECALS"</f>
        <v>2022 FORD EXPLORER DECALS</v>
      </c>
      <c r="X37">
        <v>786</v>
      </c>
      <c r="Y37" t="str">
        <f>""</f>
        <v/>
      </c>
    </row>
    <row r="38" spans="1:25" x14ac:dyDescent="0.25">
      <c r="A38" t="str">
        <f t="shared" si="8"/>
        <v>01</v>
      </c>
      <c r="B38" t="str">
        <f>"000384"</f>
        <v>000384</v>
      </c>
      <c r="C38" t="s">
        <v>178</v>
      </c>
      <c r="D38" t="s">
        <v>179</v>
      </c>
      <c r="E38" t="s">
        <v>180</v>
      </c>
      <c r="F38" t="s">
        <v>52</v>
      </c>
      <c r="G38" t="s">
        <v>28</v>
      </c>
      <c r="H38">
        <v>61101</v>
      </c>
      <c r="I38" t="s">
        <v>181</v>
      </c>
      <c r="J38" t="s">
        <v>182</v>
      </c>
      <c r="K38" t="s">
        <v>30</v>
      </c>
      <c r="L38">
        <v>25103</v>
      </c>
      <c r="M38">
        <v>1356.04</v>
      </c>
      <c r="N38" s="1">
        <v>44970</v>
      </c>
      <c r="O38" t="s">
        <v>31</v>
      </c>
      <c r="P38" t="s">
        <v>32</v>
      </c>
      <c r="Q38" t="s">
        <v>33</v>
      </c>
      <c r="R38" t="str">
        <f>"FY23-2039"</f>
        <v>FY23-2039</v>
      </c>
      <c r="S38" t="str">
        <f>"COUNCIL MEMBERSHIP FY23 1/4"</f>
        <v>COUNCIL MEMBERSHIP FY23 1/4</v>
      </c>
      <c r="T38">
        <v>625</v>
      </c>
      <c r="U38" t="str">
        <f>"17"</f>
        <v>17</v>
      </c>
      <c r="V38" t="str">
        <f>"47-561"</f>
        <v>47-561</v>
      </c>
      <c r="W38" t="str">
        <f>"COUNCIL MEMBERSHIP FY23 1/4"</f>
        <v>COUNCIL MEMBERSHIP FY23 1/4</v>
      </c>
      <c r="X38">
        <v>625</v>
      </c>
      <c r="Y38" t="str">
        <f>""</f>
        <v/>
      </c>
    </row>
    <row r="39" spans="1:25" x14ac:dyDescent="0.25">
      <c r="A39" t="str">
        <f t="shared" si="8"/>
        <v>01</v>
      </c>
      <c r="B39" t="str">
        <f>"000291"</f>
        <v>000291</v>
      </c>
      <c r="C39" t="s">
        <v>183</v>
      </c>
      <c r="D39" t="s">
        <v>184</v>
      </c>
      <c r="F39" t="s">
        <v>155</v>
      </c>
      <c r="G39" t="s">
        <v>28</v>
      </c>
      <c r="H39" t="s">
        <v>185</v>
      </c>
      <c r="J39" t="s">
        <v>186</v>
      </c>
      <c r="K39" t="s">
        <v>30</v>
      </c>
      <c r="L39">
        <v>25104</v>
      </c>
      <c r="M39">
        <v>41.95</v>
      </c>
      <c r="N39" s="1">
        <v>44970</v>
      </c>
      <c r="O39" t="s">
        <v>31</v>
      </c>
      <c r="P39" t="s">
        <v>32</v>
      </c>
      <c r="Q39" t="s">
        <v>33</v>
      </c>
      <c r="R39" t="str">
        <f>"0629020"</f>
        <v>0629020</v>
      </c>
      <c r="S39" t="str">
        <f>"POU COOLER RENTAL JAN 23"</f>
        <v>POU COOLER RENTAL JAN 23</v>
      </c>
      <c r="T39">
        <v>41.95</v>
      </c>
      <c r="U39" t="str">
        <f t="shared" ref="U39:U41" si="11">"01"</f>
        <v>01</v>
      </c>
      <c r="V39" t="str">
        <f>"41-661"</f>
        <v>41-661</v>
      </c>
      <c r="W39" t="str">
        <f>"POU COOLER RENTAL JAN 23"</f>
        <v>POU COOLER RENTAL JAN 23</v>
      </c>
      <c r="X39">
        <v>41.95</v>
      </c>
      <c r="Y39" t="str">
        <f>""</f>
        <v/>
      </c>
    </row>
    <row r="40" spans="1:25" ht="15.75" customHeight="1" x14ac:dyDescent="0.25">
      <c r="A40" t="str">
        <f t="shared" si="8"/>
        <v>01</v>
      </c>
      <c r="B40" t="str">
        <f>"000422"</f>
        <v>000422</v>
      </c>
      <c r="C40" t="s">
        <v>187</v>
      </c>
      <c r="D40" t="s">
        <v>188</v>
      </c>
      <c r="F40" t="s">
        <v>52</v>
      </c>
      <c r="G40" t="s">
        <v>28</v>
      </c>
      <c r="H40">
        <v>61107</v>
      </c>
      <c r="I40" t="s">
        <v>189</v>
      </c>
      <c r="J40" t="s">
        <v>190</v>
      </c>
      <c r="K40" t="s">
        <v>30</v>
      </c>
      <c r="L40">
        <v>25105</v>
      </c>
      <c r="M40">
        <v>310</v>
      </c>
      <c r="N40" s="1">
        <v>44970</v>
      </c>
      <c r="O40" t="s">
        <v>31</v>
      </c>
      <c r="P40" t="s">
        <v>32</v>
      </c>
      <c r="Q40" t="s">
        <v>33</v>
      </c>
      <c r="R40" t="str">
        <f>"34005"</f>
        <v>34005</v>
      </c>
      <c r="S40" t="str">
        <f>"LOGIN ISSUE- HAFF 10/21/22"</f>
        <v>LOGIN ISSUE- HAFF 10/21/22</v>
      </c>
      <c r="T40">
        <v>95</v>
      </c>
      <c r="U40" t="str">
        <f t="shared" si="11"/>
        <v>01</v>
      </c>
      <c r="V40" t="str">
        <f>"43-530"</f>
        <v>43-530</v>
      </c>
      <c r="W40" t="str">
        <f>"LOGIN ISSUE- HAFF 10/27/22"</f>
        <v>LOGIN ISSUE- HAFF 10/27/22</v>
      </c>
      <c r="X40">
        <v>95</v>
      </c>
      <c r="Y40" t="str">
        <f>""</f>
        <v/>
      </c>
    </row>
    <row r="41" spans="1:25" x14ac:dyDescent="0.25">
      <c r="A41" t="str">
        <f t="shared" si="8"/>
        <v>01</v>
      </c>
      <c r="B41" t="str">
        <f>"000142"</f>
        <v>000142</v>
      </c>
      <c r="C41" t="s">
        <v>191</v>
      </c>
      <c r="D41" t="s">
        <v>192</v>
      </c>
      <c r="F41" t="s">
        <v>52</v>
      </c>
      <c r="G41" t="s">
        <v>28</v>
      </c>
      <c r="H41">
        <v>61103</v>
      </c>
      <c r="J41" t="s">
        <v>193</v>
      </c>
      <c r="K41" t="s">
        <v>30</v>
      </c>
      <c r="L41">
        <v>25106</v>
      </c>
      <c r="M41">
        <v>135</v>
      </c>
      <c r="N41" s="1">
        <v>44970</v>
      </c>
      <c r="O41" t="s">
        <v>31</v>
      </c>
      <c r="P41" t="s">
        <v>32</v>
      </c>
      <c r="Q41" t="s">
        <v>33</v>
      </c>
      <c r="R41" t="str">
        <f>"17043"</f>
        <v>17043</v>
      </c>
      <c r="S41" t="str">
        <f>"#10 LETTERHEAD ENVELOPE"</f>
        <v>#10 LETTERHEAD ENVELOPE</v>
      </c>
      <c r="T41">
        <v>135</v>
      </c>
      <c r="U41" t="str">
        <f t="shared" si="11"/>
        <v>01</v>
      </c>
      <c r="V41" t="str">
        <f>"41-661"</f>
        <v>41-661</v>
      </c>
      <c r="W41" t="str">
        <f>"#10 LETTERHEAD ENVELOPE"</f>
        <v>#10 LETTERHEAD ENVELOPE</v>
      </c>
      <c r="X41">
        <v>135</v>
      </c>
      <c r="Y41" t="str">
        <f>""</f>
        <v/>
      </c>
    </row>
    <row r="42" spans="1:25" x14ac:dyDescent="0.25">
      <c r="A42" t="str">
        <f t="shared" si="8"/>
        <v>01</v>
      </c>
      <c r="B42" t="str">
        <f>"000830"</f>
        <v>000830</v>
      </c>
      <c r="C42" t="s">
        <v>194</v>
      </c>
      <c r="D42" t="s">
        <v>195</v>
      </c>
      <c r="E42" t="s">
        <v>196</v>
      </c>
      <c r="F42" t="s">
        <v>168</v>
      </c>
      <c r="G42" t="s">
        <v>169</v>
      </c>
      <c r="H42" t="s">
        <v>197</v>
      </c>
      <c r="K42" t="s">
        <v>30</v>
      </c>
      <c r="L42">
        <v>25107</v>
      </c>
      <c r="M42">
        <v>186.82</v>
      </c>
      <c r="N42" s="1">
        <v>44970</v>
      </c>
      <c r="O42" t="s">
        <v>31</v>
      </c>
      <c r="P42" t="s">
        <v>32</v>
      </c>
      <c r="Q42" t="s">
        <v>33</v>
      </c>
      <c r="R42" t="str">
        <f>"902733253"</f>
        <v>902733253</v>
      </c>
      <c r="S42" t="str">
        <f>"CHEMICALS"</f>
        <v>CHEMICALS</v>
      </c>
      <c r="T42">
        <v>186.82</v>
      </c>
      <c r="U42" t="str">
        <f>"51"</f>
        <v>51</v>
      </c>
      <c r="V42" t="str">
        <f>"44-651"</f>
        <v>44-651</v>
      </c>
      <c r="W42" t="str">
        <f>"CHEMICALS"</f>
        <v>CHEMICALS</v>
      </c>
      <c r="X42">
        <v>186.82</v>
      </c>
      <c r="Y42" t="str">
        <f>""</f>
        <v/>
      </c>
    </row>
    <row r="43" spans="1:25" x14ac:dyDescent="0.25">
      <c r="A43" t="str">
        <f t="shared" si="8"/>
        <v>01</v>
      </c>
      <c r="B43" t="str">
        <f>"000825"</f>
        <v>000825</v>
      </c>
      <c r="C43" t="s">
        <v>198</v>
      </c>
      <c r="D43" t="s">
        <v>199</v>
      </c>
      <c r="F43" t="s">
        <v>63</v>
      </c>
      <c r="G43" t="s">
        <v>28</v>
      </c>
      <c r="H43">
        <v>61088</v>
      </c>
      <c r="J43" t="s">
        <v>200</v>
      </c>
      <c r="K43" t="s">
        <v>30</v>
      </c>
      <c r="L43">
        <v>25108</v>
      </c>
      <c r="M43">
        <v>173.99</v>
      </c>
      <c r="N43" s="1">
        <v>44970</v>
      </c>
      <c r="O43" t="s">
        <v>31</v>
      </c>
      <c r="P43" t="s">
        <v>32</v>
      </c>
      <c r="Q43" t="s">
        <v>33</v>
      </c>
      <c r="R43" t="str">
        <f>"202301242075"</f>
        <v>202301242075</v>
      </c>
      <c r="S43" t="str">
        <f>"DECEMBER STATEMENT"</f>
        <v>DECEMBER STATEMENT</v>
      </c>
      <c r="T43">
        <v>173.99</v>
      </c>
      <c r="U43" t="str">
        <f>"01"</f>
        <v>01</v>
      </c>
      <c r="V43" t="str">
        <f>"43-658"</f>
        <v>43-658</v>
      </c>
      <c r="W43" t="str">
        <f>"DECEMBER STATEMENT"</f>
        <v>DECEMBER STATEMENT</v>
      </c>
      <c r="X43">
        <v>8.98</v>
      </c>
      <c r="Y43" t="str">
        <f>""</f>
        <v/>
      </c>
    </row>
    <row r="44" spans="1:25" x14ac:dyDescent="0.25">
      <c r="A44" t="str">
        <f t="shared" si="8"/>
        <v>01</v>
      </c>
      <c r="B44" t="str">
        <f>"016032"</f>
        <v>016032</v>
      </c>
      <c r="C44" t="s">
        <v>201</v>
      </c>
      <c r="D44" t="s">
        <v>202</v>
      </c>
      <c r="F44" t="s">
        <v>203</v>
      </c>
      <c r="G44" t="s">
        <v>204</v>
      </c>
      <c r="H44" t="s">
        <v>205</v>
      </c>
      <c r="J44" t="s">
        <v>206</v>
      </c>
      <c r="K44" t="s">
        <v>30</v>
      </c>
      <c r="L44">
        <v>25109</v>
      </c>
      <c r="M44">
        <v>1332.5</v>
      </c>
      <c r="N44" s="1">
        <v>44970</v>
      </c>
      <c r="O44" t="s">
        <v>31</v>
      </c>
      <c r="P44" t="s">
        <v>32</v>
      </c>
      <c r="Q44" t="s">
        <v>33</v>
      </c>
      <c r="R44" t="str">
        <f>"025-401032"</f>
        <v>025-401032</v>
      </c>
      <c r="S44" t="str">
        <f>"BUILDING PERMIT TRAINING"</f>
        <v>BUILDING PERMIT TRAINING</v>
      </c>
      <c r="T44">
        <v>552.5</v>
      </c>
      <c r="U44" t="str">
        <f>"17"</f>
        <v>17</v>
      </c>
      <c r="V44" t="str">
        <f>"47-530"</f>
        <v>47-530</v>
      </c>
      <c r="W44" t="str">
        <f>"BUILDING PERMIT TRAINING"</f>
        <v>BUILDING PERMIT TRAINING</v>
      </c>
      <c r="X44">
        <v>552.5</v>
      </c>
      <c r="Y44" t="str">
        <f>""</f>
        <v/>
      </c>
    </row>
    <row r="45" spans="1:25" x14ac:dyDescent="0.25">
      <c r="A45" t="str">
        <f t="shared" si="8"/>
        <v>01</v>
      </c>
      <c r="B45" t="str">
        <f>"000411"</f>
        <v>000411</v>
      </c>
      <c r="C45" t="s">
        <v>207</v>
      </c>
      <c r="D45" t="s">
        <v>208</v>
      </c>
      <c r="F45" t="s">
        <v>209</v>
      </c>
      <c r="G45" t="s">
        <v>28</v>
      </c>
      <c r="H45">
        <v>61265</v>
      </c>
      <c r="I45" t="s">
        <v>210</v>
      </c>
      <c r="J45" t="s">
        <v>211</v>
      </c>
      <c r="K45" t="s">
        <v>30</v>
      </c>
      <c r="L45">
        <v>25110</v>
      </c>
      <c r="M45">
        <v>364</v>
      </c>
      <c r="N45" s="1">
        <v>44970</v>
      </c>
      <c r="O45" t="s">
        <v>31</v>
      </c>
      <c r="P45" t="s">
        <v>32</v>
      </c>
      <c r="Q45" t="s">
        <v>33</v>
      </c>
      <c r="R45" t="str">
        <f>"83962"</f>
        <v>83962</v>
      </c>
      <c r="S45" t="str">
        <f>"RAIN JACKET- MAGGIO"</f>
        <v>RAIN JACKET- MAGGIO</v>
      </c>
      <c r="T45">
        <v>212.5</v>
      </c>
      <c r="U45" t="str">
        <f>"01"</f>
        <v>01</v>
      </c>
      <c r="V45" t="str">
        <f>"43-470"</f>
        <v>43-470</v>
      </c>
      <c r="W45" t="str">
        <f>"RAIN JACKET- MAGGIO"</f>
        <v>RAIN JACKET- MAGGIO</v>
      </c>
      <c r="X45">
        <v>212.5</v>
      </c>
      <c r="Y45" t="str">
        <f>""</f>
        <v/>
      </c>
    </row>
    <row r="46" spans="1:25" x14ac:dyDescent="0.25">
      <c r="A46" t="str">
        <f t="shared" ref="A46:A54" si="12">"01"</f>
        <v>01</v>
      </c>
      <c r="B46" t="str">
        <f>"000067"</f>
        <v>000067</v>
      </c>
      <c r="C46" t="s">
        <v>212</v>
      </c>
      <c r="D46" t="s">
        <v>213</v>
      </c>
      <c r="F46" t="s">
        <v>214</v>
      </c>
      <c r="G46" t="s">
        <v>28</v>
      </c>
      <c r="H46" t="s">
        <v>215</v>
      </c>
      <c r="K46" t="s">
        <v>30</v>
      </c>
      <c r="L46">
        <v>25111</v>
      </c>
      <c r="M46">
        <v>364.06</v>
      </c>
      <c r="N46" s="1">
        <v>44970</v>
      </c>
      <c r="O46" t="s">
        <v>31</v>
      </c>
      <c r="P46" t="s">
        <v>32</v>
      </c>
      <c r="Q46" t="s">
        <v>33</v>
      </c>
      <c r="R46" t="str">
        <f>"INV368439"</f>
        <v>INV368439</v>
      </c>
      <c r="S46" t="str">
        <f>"SUPPLIES"</f>
        <v>SUPPLIES</v>
      </c>
      <c r="T46">
        <v>364.06</v>
      </c>
      <c r="U46" t="str">
        <f>"01"</f>
        <v>01</v>
      </c>
      <c r="V46" t="str">
        <f>"42-651"</f>
        <v>42-651</v>
      </c>
      <c r="W46" t="str">
        <f>"SUPPLIES"</f>
        <v>SUPPLIES</v>
      </c>
      <c r="X46">
        <v>364.06</v>
      </c>
      <c r="Y46" t="str">
        <f>""</f>
        <v/>
      </c>
    </row>
    <row r="47" spans="1:25" x14ac:dyDescent="0.25">
      <c r="A47" t="str">
        <f t="shared" si="12"/>
        <v>01</v>
      </c>
      <c r="B47" t="str">
        <f>"000454"</f>
        <v>000454</v>
      </c>
      <c r="C47" t="s">
        <v>216</v>
      </c>
      <c r="D47" t="s">
        <v>172</v>
      </c>
      <c r="E47" t="s">
        <v>173</v>
      </c>
      <c r="F47" t="s">
        <v>63</v>
      </c>
      <c r="G47" t="s">
        <v>28</v>
      </c>
      <c r="H47">
        <v>61088</v>
      </c>
      <c r="J47" t="s">
        <v>174</v>
      </c>
      <c r="K47" t="s">
        <v>30</v>
      </c>
      <c r="L47">
        <v>25112</v>
      </c>
      <c r="M47">
        <v>378</v>
      </c>
      <c r="N47" s="1">
        <v>44970</v>
      </c>
      <c r="O47" t="s">
        <v>31</v>
      </c>
      <c r="P47" t="s">
        <v>32</v>
      </c>
      <c r="Q47" t="s">
        <v>33</v>
      </c>
      <c r="R47" t="str">
        <f>"202301262079"</f>
        <v>202301262079</v>
      </c>
      <c r="S47" t="str">
        <f>"STAMPS"</f>
        <v>STAMPS</v>
      </c>
      <c r="T47">
        <v>378</v>
      </c>
      <c r="U47" t="str">
        <f>"01"</f>
        <v>01</v>
      </c>
      <c r="V47" t="str">
        <f>"41-551"</f>
        <v>41-551</v>
      </c>
      <c r="W47" t="str">
        <f>"STAMPS"</f>
        <v>STAMPS</v>
      </c>
      <c r="X47">
        <v>189</v>
      </c>
      <c r="Y47" t="str">
        <f>""</f>
        <v/>
      </c>
    </row>
    <row r="48" spans="1:25" x14ac:dyDescent="0.25">
      <c r="A48" t="str">
        <f t="shared" si="12"/>
        <v>01</v>
      </c>
      <c r="B48" t="str">
        <f>"001004"</f>
        <v>001004</v>
      </c>
      <c r="C48" t="s">
        <v>217</v>
      </c>
      <c r="D48" t="s">
        <v>218</v>
      </c>
      <c r="E48" t="s">
        <v>162</v>
      </c>
      <c r="F48" t="s">
        <v>63</v>
      </c>
      <c r="G48" t="s">
        <v>28</v>
      </c>
      <c r="H48">
        <v>61088</v>
      </c>
      <c r="K48" t="s">
        <v>30</v>
      </c>
      <c r="L48">
        <v>25113</v>
      </c>
      <c r="M48">
        <v>69.510000000000005</v>
      </c>
      <c r="N48" s="1">
        <v>44970</v>
      </c>
      <c r="O48" t="s">
        <v>31</v>
      </c>
      <c r="P48" t="s">
        <v>32</v>
      </c>
      <c r="Q48" t="s">
        <v>33</v>
      </c>
      <c r="R48" t="str">
        <f>"202301312087"</f>
        <v>202301312087</v>
      </c>
      <c r="S48" t="str">
        <f>"WATER BILL DECEMBER 22"</f>
        <v>WATER BILL DECEMBER 22</v>
      </c>
      <c r="T48">
        <v>69.510000000000005</v>
      </c>
      <c r="U48" t="str">
        <f>"51"</f>
        <v>51</v>
      </c>
      <c r="V48" t="str">
        <f>"44-653"</f>
        <v>44-653</v>
      </c>
      <c r="W48" t="str">
        <f>"WATER BILL DECEMBER 22"</f>
        <v>WATER BILL DECEMBER 22</v>
      </c>
      <c r="X48">
        <v>34.840000000000003</v>
      </c>
      <c r="Y48" t="str">
        <f>""</f>
        <v/>
      </c>
    </row>
    <row r="49" spans="1:25" x14ac:dyDescent="0.25">
      <c r="A49" t="str">
        <f t="shared" si="12"/>
        <v>01</v>
      </c>
      <c r="B49" t="str">
        <f>"000222"</f>
        <v>000222</v>
      </c>
      <c r="C49" t="s">
        <v>219</v>
      </c>
      <c r="D49" t="s">
        <v>220</v>
      </c>
      <c r="E49" t="s">
        <v>221</v>
      </c>
      <c r="F49" t="s">
        <v>36</v>
      </c>
      <c r="G49" t="s">
        <v>28</v>
      </c>
      <c r="H49" t="s">
        <v>222</v>
      </c>
      <c r="K49" t="s">
        <v>30</v>
      </c>
      <c r="L49">
        <v>25114</v>
      </c>
      <c r="M49">
        <v>313.54000000000002</v>
      </c>
      <c r="N49" s="1">
        <v>44970</v>
      </c>
      <c r="O49" t="s">
        <v>31</v>
      </c>
      <c r="P49" t="s">
        <v>32</v>
      </c>
      <c r="Q49" t="s">
        <v>33</v>
      </c>
      <c r="R49" t="str">
        <f>"212926"</f>
        <v>212926</v>
      </c>
      <c r="S49" t="str">
        <f>"HYDRAULIC OIL"</f>
        <v>HYDRAULIC OIL</v>
      </c>
      <c r="T49">
        <v>313.54000000000002</v>
      </c>
      <c r="U49" t="str">
        <f t="shared" ref="U49:U53" si="13">"01"</f>
        <v>01</v>
      </c>
      <c r="V49" t="str">
        <f>"42-513"</f>
        <v>42-513</v>
      </c>
      <c r="W49" t="str">
        <f>"HYDRAULIC OIL"</f>
        <v>HYDRAULIC OIL</v>
      </c>
      <c r="X49">
        <v>313.54000000000002</v>
      </c>
      <c r="Y49" t="str">
        <f>""</f>
        <v/>
      </c>
    </row>
    <row r="50" spans="1:25" x14ac:dyDescent="0.25">
      <c r="A50" t="str">
        <f t="shared" si="12"/>
        <v>01</v>
      </c>
      <c r="B50" t="str">
        <f>"000041"</f>
        <v>000041</v>
      </c>
      <c r="C50" t="s">
        <v>223</v>
      </c>
      <c r="D50" t="s">
        <v>224</v>
      </c>
      <c r="F50" t="s">
        <v>155</v>
      </c>
      <c r="G50" t="s">
        <v>28</v>
      </c>
      <c r="H50">
        <v>61130</v>
      </c>
      <c r="K50" t="s">
        <v>30</v>
      </c>
      <c r="L50">
        <v>25115</v>
      </c>
      <c r="M50">
        <v>130.5</v>
      </c>
      <c r="N50" s="1">
        <v>44970</v>
      </c>
      <c r="O50" t="s">
        <v>31</v>
      </c>
      <c r="P50" t="s">
        <v>32</v>
      </c>
      <c r="Q50" t="s">
        <v>33</v>
      </c>
      <c r="R50" t="str">
        <f>"119728"</f>
        <v>119728</v>
      </c>
      <c r="S50" t="str">
        <f>"UPM COLD PATCH"</f>
        <v>UPM COLD PATCH</v>
      </c>
      <c r="T50">
        <v>130.5</v>
      </c>
      <c r="U50" t="str">
        <f t="shared" si="13"/>
        <v>01</v>
      </c>
      <c r="V50" t="str">
        <f>"42-514"</f>
        <v>42-514</v>
      </c>
      <c r="W50" t="str">
        <f>"UPM COLD PATCH"</f>
        <v>UPM COLD PATCH</v>
      </c>
      <c r="X50">
        <v>130.5</v>
      </c>
      <c r="Y50" t="str">
        <f>""</f>
        <v/>
      </c>
    </row>
    <row r="51" spans="1:25" x14ac:dyDescent="0.25">
      <c r="A51" t="str">
        <f t="shared" si="12"/>
        <v>01</v>
      </c>
      <c r="B51" t="str">
        <f>"000145"</f>
        <v>000145</v>
      </c>
      <c r="C51" t="s">
        <v>225</v>
      </c>
      <c r="D51" t="s">
        <v>226</v>
      </c>
      <c r="F51" t="s">
        <v>63</v>
      </c>
      <c r="G51" t="s">
        <v>28</v>
      </c>
      <c r="H51">
        <v>61088</v>
      </c>
      <c r="K51" t="s">
        <v>30</v>
      </c>
      <c r="L51">
        <v>25116</v>
      </c>
      <c r="M51">
        <v>150</v>
      </c>
      <c r="N51" s="1">
        <v>44970</v>
      </c>
      <c r="O51" t="s">
        <v>31</v>
      </c>
      <c r="P51" t="s">
        <v>32</v>
      </c>
      <c r="Q51" t="s">
        <v>33</v>
      </c>
      <c r="R51" t="str">
        <f>"2023-47"</f>
        <v>2023-47</v>
      </c>
      <c r="S51" t="str">
        <f>"2023 MEMBERSHIP-BUSINESS"</f>
        <v>2023 MEMBERSHIP-BUSINESS</v>
      </c>
      <c r="T51">
        <v>150</v>
      </c>
      <c r="U51" t="str">
        <f t="shared" si="13"/>
        <v>01</v>
      </c>
      <c r="V51" t="str">
        <f>"41-561"</f>
        <v>41-561</v>
      </c>
      <c r="W51" t="str">
        <f>"2023 MEMBERSHIP-BUSINESS"</f>
        <v>2023 MEMBERSHIP-BUSINESS</v>
      </c>
      <c r="X51">
        <v>150</v>
      </c>
      <c r="Y51" t="str">
        <f>""</f>
        <v/>
      </c>
    </row>
    <row r="52" spans="1:25" x14ac:dyDescent="0.25">
      <c r="A52" t="str">
        <f t="shared" si="12"/>
        <v>01</v>
      </c>
      <c r="B52" t="str">
        <f>"000518"</f>
        <v>000518</v>
      </c>
      <c r="C52" t="s">
        <v>227</v>
      </c>
      <c r="D52" t="s">
        <v>228</v>
      </c>
      <c r="E52" t="s">
        <v>229</v>
      </c>
      <c r="F52" t="s">
        <v>52</v>
      </c>
      <c r="G52" t="s">
        <v>28</v>
      </c>
      <c r="H52">
        <v>61101</v>
      </c>
      <c r="K52" t="s">
        <v>30</v>
      </c>
      <c r="L52">
        <v>25117</v>
      </c>
      <c r="M52">
        <v>4492.3</v>
      </c>
      <c r="N52" s="1">
        <v>44970</v>
      </c>
      <c r="O52" t="s">
        <v>31</v>
      </c>
      <c r="P52" t="s">
        <v>32</v>
      </c>
      <c r="Q52" t="s">
        <v>33</v>
      </c>
      <c r="R52" t="str">
        <f>"202302022093"</f>
        <v>202302022093</v>
      </c>
      <c r="S52" t="str">
        <f>"911 IGA JAN 2023"</f>
        <v>911 IGA JAN 2023</v>
      </c>
      <c r="T52">
        <v>4492.3</v>
      </c>
      <c r="U52" t="str">
        <f t="shared" si="13"/>
        <v>01</v>
      </c>
      <c r="V52" t="str">
        <f>"43-531"</f>
        <v>43-531</v>
      </c>
      <c r="W52" t="str">
        <f>"911 IGA JAN 2023"</f>
        <v>911 IGA JAN 2023</v>
      </c>
      <c r="X52">
        <v>4492.3</v>
      </c>
      <c r="Y52" t="str">
        <f>""</f>
        <v/>
      </c>
    </row>
    <row r="53" spans="1:25" x14ac:dyDescent="0.25">
      <c r="A53" t="str">
        <f t="shared" si="12"/>
        <v>01</v>
      </c>
      <c r="B53" t="str">
        <f>"000616"</f>
        <v>000616</v>
      </c>
      <c r="C53" t="s">
        <v>230</v>
      </c>
      <c r="D53" t="s">
        <v>231</v>
      </c>
      <c r="F53" t="s">
        <v>203</v>
      </c>
      <c r="G53" t="s">
        <v>204</v>
      </c>
      <c r="H53" t="s">
        <v>232</v>
      </c>
      <c r="J53" t="s">
        <v>233</v>
      </c>
      <c r="K53" t="s">
        <v>30</v>
      </c>
      <c r="L53">
        <v>25118</v>
      </c>
      <c r="M53">
        <v>750.74</v>
      </c>
      <c r="N53" s="1">
        <v>44970</v>
      </c>
      <c r="O53" t="s">
        <v>31</v>
      </c>
      <c r="P53" t="s">
        <v>32</v>
      </c>
      <c r="Q53" t="s">
        <v>33</v>
      </c>
      <c r="R53" t="str">
        <f>"3678699"</f>
        <v>3678699</v>
      </c>
      <c r="S53" t="str">
        <f>"CONTRACT PAYMENT"</f>
        <v>CONTRACT PAYMENT</v>
      </c>
      <c r="T53">
        <v>312.87</v>
      </c>
      <c r="U53" t="str">
        <f t="shared" si="13"/>
        <v>01</v>
      </c>
      <c r="V53" t="str">
        <f>"43-530"</f>
        <v>43-530</v>
      </c>
      <c r="W53" t="str">
        <f>"CONTRACT PAYMENT"</f>
        <v>CONTRACT PAYMENT</v>
      </c>
      <c r="X53">
        <v>78.22</v>
      </c>
      <c r="Y53" t="str">
        <f>""</f>
        <v/>
      </c>
    </row>
    <row r="54" spans="1:25" x14ac:dyDescent="0.25">
      <c r="A54" t="str">
        <f t="shared" si="12"/>
        <v>01</v>
      </c>
      <c r="B54" t="str">
        <f>"1"</f>
        <v>1</v>
      </c>
      <c r="C54" t="s">
        <v>234</v>
      </c>
      <c r="D54" t="s">
        <v>235</v>
      </c>
      <c r="F54" t="s">
        <v>63</v>
      </c>
      <c r="G54" t="s">
        <v>28</v>
      </c>
      <c r="H54">
        <v>61088</v>
      </c>
      <c r="K54" t="s">
        <v>30</v>
      </c>
      <c r="L54">
        <v>25119</v>
      </c>
      <c r="M54">
        <v>72.13</v>
      </c>
      <c r="N54" s="1">
        <v>44970</v>
      </c>
      <c r="O54" t="s">
        <v>31</v>
      </c>
      <c r="P54" t="s">
        <v>32</v>
      </c>
      <c r="Q54" t="s">
        <v>33</v>
      </c>
      <c r="R54" t="str">
        <f>"000202301302082"</f>
        <v>000202301302082</v>
      </c>
      <c r="S54" t="str">
        <f>"US REFUND"</f>
        <v>US REFUND</v>
      </c>
      <c r="T54">
        <v>72.13</v>
      </c>
      <c r="U54" t="str">
        <f>"51"</f>
        <v>51</v>
      </c>
      <c r="V54" t="str">
        <f>"364"</f>
        <v>364</v>
      </c>
      <c r="W54" t="str">
        <f>"02-1750-00"</f>
        <v>02-1750-00</v>
      </c>
      <c r="X54">
        <v>72.13</v>
      </c>
      <c r="Y54" t="str">
        <f>""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AP-CHK-RPT-20230207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Windgassen</cp:lastModifiedBy>
  <dcterms:created xsi:type="dcterms:W3CDTF">2023-02-07T20:43:29Z</dcterms:created>
  <dcterms:modified xsi:type="dcterms:W3CDTF">2023-02-07T20:51:09Z</dcterms:modified>
</cp:coreProperties>
</file>